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Директор\Documents\ДИРЕКТОР ВАЖНОЕ\Столовая\меню 2020-2021\"/>
    </mc:Choice>
  </mc:AlternateContent>
  <bookViews>
    <workbookView xWindow="0" yWindow="0" windowWidth="28800" windowHeight="11835" tabRatio="725" activeTab="11"/>
  </bookViews>
  <sheets>
    <sheet name="Титульный лист" sheetId="4" r:id="rId1"/>
    <sheet name="1 день" sheetId="5" r:id="rId2"/>
    <sheet name="2 день" sheetId="6" r:id="rId3"/>
    <sheet name="3 день" sheetId="7" r:id="rId4"/>
    <sheet name="4 день" sheetId="8" r:id="rId5"/>
    <sheet name="5 день" sheetId="9" r:id="rId6"/>
    <sheet name="6 день" sheetId="10" r:id="rId7"/>
    <sheet name="7 день" sheetId="11" r:id="rId8"/>
    <sheet name="8 день" sheetId="12" r:id="rId9"/>
    <sheet name="9 день" sheetId="13" r:id="rId10"/>
    <sheet name="10 день" sheetId="14" r:id="rId11"/>
    <sheet name="свод 10 дней" sheetId="15" r:id="rId12"/>
  </sheets>
  <definedNames>
    <definedName name="_xlnm.Print_Area" localSheetId="1">'1 день'!$A$1:$O$53</definedName>
    <definedName name="_xlnm.Print_Area" localSheetId="10">'10 день'!$A$1:$O$53</definedName>
    <definedName name="_xlnm.Print_Area" localSheetId="2">'2 день'!$A$1:$O$53</definedName>
    <definedName name="_xlnm.Print_Area" localSheetId="3">'3 день'!$A$1:$O$53</definedName>
    <definedName name="_xlnm.Print_Area" localSheetId="4">'4 день'!$A$1:$O$53</definedName>
    <definedName name="_xlnm.Print_Area" localSheetId="5">'5 день'!$A$1:$O$53</definedName>
    <definedName name="_xlnm.Print_Area" localSheetId="6">'6 день'!$A$1:$O$53</definedName>
    <definedName name="_xlnm.Print_Area" localSheetId="7">'7 день'!$A$1:$O$53</definedName>
    <definedName name="_xlnm.Print_Area" localSheetId="8">'8 день'!$A$1:$O$53</definedName>
    <definedName name="_xlnm.Print_Area" localSheetId="9">'9 день'!$A$1:$O$53</definedName>
    <definedName name="_xlnm.Print_Area" localSheetId="11">'свод 10 дней'!$A$1:$H$37</definedName>
    <definedName name="_xlnm.Print_Area" localSheetId="0">'Титульный лист'!$A$1:$O$21</definedName>
  </definedNames>
  <calcPr calcId="152511"/>
</workbook>
</file>

<file path=xl/calcChain.xml><?xml version="1.0" encoding="utf-8"?>
<calcChain xmlns="http://schemas.openxmlformats.org/spreadsheetml/2006/main">
  <c r="I20" i="14" l="1"/>
  <c r="H20" i="14"/>
  <c r="G20" i="14"/>
  <c r="F20" i="14"/>
  <c r="I20" i="13"/>
  <c r="H20" i="13"/>
  <c r="G20" i="13"/>
  <c r="F20" i="13"/>
  <c r="I20" i="12"/>
  <c r="H20" i="12"/>
  <c r="G20" i="12"/>
  <c r="F20" i="12"/>
  <c r="I20" i="11"/>
  <c r="H20" i="11"/>
  <c r="G20" i="11"/>
  <c r="F20" i="11"/>
  <c r="I20" i="10"/>
  <c r="H20" i="10"/>
  <c r="G20" i="10"/>
  <c r="F20" i="10"/>
  <c r="J20" i="9"/>
  <c r="I20" i="9"/>
  <c r="H20" i="9"/>
  <c r="G20" i="9"/>
  <c r="I20" i="8"/>
  <c r="H20" i="8"/>
  <c r="G20" i="8"/>
  <c r="F20" i="8"/>
  <c r="I20" i="7"/>
  <c r="H20" i="7"/>
  <c r="F15" i="7"/>
  <c r="G20" i="7"/>
  <c r="F20" i="7"/>
  <c r="I20" i="6"/>
  <c r="H20" i="6"/>
  <c r="G20" i="6"/>
  <c r="F20" i="6"/>
  <c r="I20" i="5"/>
  <c r="H20" i="5"/>
  <c r="G20" i="5"/>
  <c r="F20" i="5"/>
  <c r="F14" i="15" l="1"/>
  <c r="F13" i="15" l="1"/>
  <c r="G13" i="15"/>
  <c r="G34" i="11"/>
  <c r="O12" i="11"/>
  <c r="N12" i="11"/>
  <c r="M12" i="11"/>
  <c r="L12" i="11"/>
  <c r="K12" i="11"/>
  <c r="I12" i="11"/>
  <c r="H12" i="11"/>
  <c r="G12" i="11"/>
  <c r="F12" i="11"/>
  <c r="D12" i="11"/>
  <c r="G48" i="6"/>
  <c r="O12" i="7"/>
  <c r="N12" i="7"/>
  <c r="M12" i="7"/>
  <c r="L12" i="7"/>
  <c r="K12" i="7"/>
  <c r="I12" i="7"/>
  <c r="H12" i="7"/>
  <c r="G12" i="7"/>
  <c r="F12" i="7"/>
  <c r="D12" i="7"/>
  <c r="F32" i="15" l="1"/>
  <c r="F25" i="15"/>
  <c r="F23" i="15"/>
  <c r="G17" i="15"/>
  <c r="F17" i="15"/>
  <c r="G16" i="15"/>
  <c r="F16" i="15"/>
  <c r="G15" i="15"/>
  <c r="F15" i="15"/>
  <c r="G11" i="15"/>
  <c r="F11" i="15"/>
  <c r="G10" i="15"/>
  <c r="F10" i="15"/>
  <c r="F9" i="15"/>
  <c r="F8" i="15"/>
  <c r="H29" i="10"/>
  <c r="G29" i="10"/>
  <c r="O12" i="8"/>
  <c r="N12" i="8"/>
  <c r="M12" i="8"/>
  <c r="L12" i="8"/>
  <c r="K12" i="8"/>
  <c r="I12" i="8"/>
  <c r="H12" i="8"/>
  <c r="G12" i="8"/>
  <c r="F12" i="8"/>
  <c r="D12" i="8"/>
  <c r="G46" i="7"/>
  <c r="H37" i="7"/>
  <c r="G37" i="7"/>
  <c r="H32" i="7"/>
  <c r="G32" i="7"/>
  <c r="H32" i="14"/>
  <c r="G32" i="14"/>
  <c r="H37" i="14"/>
  <c r="G37" i="14"/>
  <c r="H36" i="12"/>
  <c r="G36" i="12"/>
  <c r="H36" i="11"/>
  <c r="G36" i="11"/>
  <c r="H36" i="9"/>
  <c r="G36" i="9"/>
  <c r="H36" i="8"/>
  <c r="G36" i="8"/>
  <c r="G48" i="5"/>
  <c r="G28" i="5"/>
  <c r="H31" i="14"/>
  <c r="G31" i="14"/>
  <c r="G46" i="13"/>
  <c r="H32" i="13"/>
  <c r="G32" i="13"/>
  <c r="G29" i="13"/>
  <c r="O13" i="13"/>
  <c r="N13" i="13"/>
  <c r="M13" i="13"/>
  <c r="L13" i="13"/>
  <c r="K13" i="13"/>
  <c r="I13" i="13"/>
  <c r="H13" i="13"/>
  <c r="G13" i="13"/>
  <c r="F13" i="13"/>
  <c r="D13" i="13"/>
  <c r="H32" i="12"/>
  <c r="G32" i="12"/>
  <c r="G29" i="12"/>
  <c r="G28" i="12"/>
  <c r="H32" i="11"/>
  <c r="G32" i="11"/>
  <c r="G28" i="11"/>
  <c r="G46" i="10"/>
  <c r="H32" i="10"/>
  <c r="G32" i="10"/>
  <c r="G31" i="10"/>
  <c r="H32" i="9"/>
  <c r="G32" i="9"/>
  <c r="H31" i="9"/>
  <c r="G31" i="9"/>
  <c r="G29" i="9"/>
  <c r="H28" i="9"/>
  <c r="G28" i="9"/>
  <c r="G46" i="8"/>
  <c r="H32" i="8"/>
  <c r="G32" i="8"/>
  <c r="G29" i="8"/>
  <c r="O9" i="7"/>
  <c r="N9" i="7"/>
  <c r="M9" i="7"/>
  <c r="L9" i="7"/>
  <c r="K9" i="7"/>
  <c r="I9" i="7"/>
  <c r="H9" i="7"/>
  <c r="G9" i="7"/>
  <c r="F9" i="7"/>
  <c r="E9" i="7"/>
  <c r="D9" i="7"/>
  <c r="O9" i="8"/>
  <c r="N9" i="8"/>
  <c r="M9" i="8"/>
  <c r="L9" i="8"/>
  <c r="K9" i="8"/>
  <c r="I9" i="8"/>
  <c r="H9" i="8"/>
  <c r="G9" i="8"/>
  <c r="F9" i="8"/>
  <c r="E9" i="8"/>
  <c r="D9" i="8"/>
  <c r="G53" i="6"/>
  <c r="G46" i="6"/>
  <c r="H32" i="6"/>
  <c r="G32" i="6"/>
  <c r="H31" i="6"/>
  <c r="G31" i="6"/>
  <c r="H28" i="6"/>
  <c r="G28" i="6"/>
  <c r="H36" i="5"/>
  <c r="G36" i="5"/>
  <c r="H32" i="5"/>
  <c r="G32" i="5"/>
  <c r="G29" i="5"/>
  <c r="O12" i="12" l="1"/>
  <c r="N12" i="12"/>
  <c r="M12" i="12"/>
  <c r="L12" i="12"/>
  <c r="K12" i="12"/>
  <c r="I12" i="12"/>
  <c r="H12" i="12"/>
  <c r="G12" i="12"/>
  <c r="F12" i="12"/>
  <c r="E12" i="12"/>
  <c r="D12" i="12"/>
  <c r="O12" i="14"/>
  <c r="N12" i="14"/>
  <c r="M12" i="14"/>
  <c r="L12" i="14"/>
  <c r="K12" i="14"/>
  <c r="I12" i="14"/>
  <c r="H12" i="14"/>
  <c r="G12" i="14"/>
  <c r="F12" i="14"/>
  <c r="E12" i="14"/>
  <c r="D12" i="14"/>
  <c r="O12" i="10"/>
  <c r="N12" i="10"/>
  <c r="M12" i="10"/>
  <c r="L12" i="10"/>
  <c r="K12" i="10"/>
  <c r="J12" i="10"/>
  <c r="I12" i="10"/>
  <c r="H12" i="10"/>
  <c r="G12" i="10"/>
  <c r="F12" i="10"/>
  <c r="E12" i="10"/>
  <c r="D12" i="10"/>
  <c r="O12" i="9"/>
  <c r="N12" i="9"/>
  <c r="M12" i="9"/>
  <c r="L12" i="9"/>
  <c r="K12" i="9"/>
  <c r="J12" i="9"/>
  <c r="I12" i="9"/>
  <c r="H12" i="9"/>
  <c r="G12" i="9"/>
  <c r="F12" i="9"/>
  <c r="E12" i="9"/>
  <c r="D12" i="9"/>
  <c r="G26" i="5" l="1"/>
  <c r="O12" i="6" l="1"/>
  <c r="N12" i="6"/>
  <c r="M12" i="6"/>
  <c r="L12" i="6"/>
  <c r="K12" i="6"/>
  <c r="I12" i="6"/>
  <c r="H12" i="6"/>
  <c r="G12" i="6"/>
  <c r="F12" i="6"/>
  <c r="D12" i="6"/>
  <c r="O9" i="5" l="1"/>
  <c r="N9" i="5"/>
  <c r="M9" i="5"/>
  <c r="L9" i="5"/>
  <c r="K9" i="5"/>
  <c r="I9" i="5"/>
  <c r="H9" i="5"/>
  <c r="G9" i="5"/>
  <c r="F9" i="5"/>
  <c r="E9" i="5"/>
  <c r="D9" i="5"/>
  <c r="O9" i="10"/>
  <c r="N9" i="10"/>
  <c r="M9" i="10"/>
  <c r="L9" i="10"/>
  <c r="K9" i="10"/>
  <c r="I9" i="10"/>
  <c r="H9" i="10"/>
  <c r="G9" i="10"/>
  <c r="F9" i="10"/>
  <c r="E9" i="10"/>
  <c r="D9" i="10"/>
  <c r="G9" i="14"/>
  <c r="G9" i="13" l="1"/>
  <c r="G9" i="12"/>
  <c r="O9" i="11"/>
  <c r="N9" i="11"/>
  <c r="M9" i="11"/>
  <c r="L9" i="11"/>
  <c r="K9" i="11"/>
  <c r="I9" i="11"/>
  <c r="H9" i="11"/>
  <c r="G9" i="11"/>
  <c r="F9" i="11"/>
  <c r="E9" i="11"/>
  <c r="D9" i="11"/>
  <c r="D9" i="9"/>
  <c r="E9" i="9"/>
  <c r="L9" i="9"/>
  <c r="G9" i="6"/>
  <c r="O9" i="14" l="1"/>
  <c r="N9" i="14"/>
  <c r="M9" i="14"/>
  <c r="L9" i="14"/>
  <c r="K9" i="14"/>
  <c r="I9" i="14"/>
  <c r="H9" i="14"/>
  <c r="F9" i="14"/>
  <c r="E9" i="14"/>
  <c r="D9" i="14"/>
  <c r="O10" i="13"/>
  <c r="N10" i="13"/>
  <c r="M10" i="13"/>
  <c r="L10" i="13"/>
  <c r="K10" i="13"/>
  <c r="J10" i="13"/>
  <c r="I10" i="13"/>
  <c r="H10" i="13"/>
  <c r="G10" i="13"/>
  <c r="G15" i="13" s="1"/>
  <c r="F10" i="13"/>
  <c r="E10" i="13"/>
  <c r="L9" i="13"/>
  <c r="E9" i="13"/>
  <c r="D9" i="13"/>
  <c r="O9" i="13"/>
  <c r="N9" i="13"/>
  <c r="M9" i="13"/>
  <c r="K9" i="13"/>
  <c r="I9" i="13"/>
  <c r="H9" i="13"/>
  <c r="F9" i="13"/>
  <c r="O10" i="11"/>
  <c r="N10" i="11"/>
  <c r="M10" i="11"/>
  <c r="L10" i="11"/>
  <c r="K10" i="11"/>
  <c r="H10" i="11"/>
  <c r="G10" i="11"/>
  <c r="F10" i="11"/>
  <c r="E10" i="11"/>
  <c r="D10" i="11"/>
  <c r="D15" i="11" s="1"/>
  <c r="O10" i="10"/>
  <c r="N10" i="10"/>
  <c r="M10" i="10"/>
  <c r="L10" i="10"/>
  <c r="K10" i="10"/>
  <c r="J10" i="10"/>
  <c r="I10" i="10"/>
  <c r="H10" i="10"/>
  <c r="G10" i="10"/>
  <c r="F10" i="10"/>
  <c r="E10" i="10"/>
  <c r="D10" i="10"/>
  <c r="O11" i="14"/>
  <c r="N11" i="14"/>
  <c r="M11" i="14"/>
  <c r="L11" i="14"/>
  <c r="K11" i="14"/>
  <c r="I11" i="14"/>
  <c r="H11" i="14"/>
  <c r="G11" i="14"/>
  <c r="F11" i="14"/>
  <c r="E11" i="14"/>
  <c r="D11" i="14"/>
  <c r="O10" i="14"/>
  <c r="N10" i="14"/>
  <c r="M10" i="14"/>
  <c r="L10" i="14"/>
  <c r="K10" i="14"/>
  <c r="J10" i="14"/>
  <c r="I10" i="14"/>
  <c r="H10" i="14"/>
  <c r="G10" i="14"/>
  <c r="F10" i="14"/>
  <c r="E10" i="14"/>
  <c r="D10" i="14"/>
  <c r="O11" i="10"/>
  <c r="N11" i="10"/>
  <c r="M11" i="10"/>
  <c r="L11" i="10"/>
  <c r="K11" i="10"/>
  <c r="H11" i="10"/>
  <c r="G11" i="10"/>
  <c r="F11" i="10"/>
  <c r="E11" i="10"/>
  <c r="D11" i="10"/>
  <c r="O11" i="9"/>
  <c r="N11" i="9"/>
  <c r="M11" i="9"/>
  <c r="L11" i="9"/>
  <c r="K11" i="9"/>
  <c r="I11" i="9"/>
  <c r="H11" i="9"/>
  <c r="G11" i="9"/>
  <c r="F11" i="9"/>
  <c r="E11" i="9"/>
  <c r="D11" i="9"/>
  <c r="F8" i="12"/>
  <c r="E8" i="12"/>
  <c r="D8" i="12"/>
  <c r="F8" i="9"/>
  <c r="E8" i="9"/>
  <c r="D8" i="9"/>
  <c r="F15" i="14" l="1"/>
  <c r="D15" i="14"/>
  <c r="E15" i="14"/>
  <c r="F15" i="13"/>
  <c r="E15" i="13"/>
  <c r="F15" i="11"/>
  <c r="G15" i="11"/>
  <c r="E15" i="11"/>
  <c r="D15" i="10"/>
  <c r="E15" i="10"/>
  <c r="F15" i="10"/>
  <c r="E15" i="9"/>
  <c r="G15" i="9"/>
  <c r="F15" i="9"/>
  <c r="D15" i="9"/>
  <c r="O10" i="12"/>
  <c r="N10" i="12"/>
  <c r="M10" i="12"/>
  <c r="L10" i="12"/>
  <c r="K10" i="12"/>
  <c r="H10" i="12"/>
  <c r="G10" i="12"/>
  <c r="F10" i="12"/>
  <c r="E10" i="12"/>
  <c r="D10" i="12"/>
  <c r="O10" i="8"/>
  <c r="N10" i="8"/>
  <c r="M10" i="8"/>
  <c r="L10" i="8"/>
  <c r="K10" i="8"/>
  <c r="H10" i="8"/>
  <c r="G10" i="8"/>
  <c r="F10" i="8"/>
  <c r="E10" i="8"/>
  <c r="D10" i="8"/>
  <c r="D8" i="13"/>
  <c r="D8" i="8"/>
  <c r="D15" i="13" l="1"/>
  <c r="G15" i="12"/>
  <c r="G15" i="8"/>
  <c r="E15" i="8"/>
  <c r="D15" i="8"/>
  <c r="F15" i="8"/>
  <c r="O10" i="7"/>
  <c r="N10" i="7"/>
  <c r="M10" i="7"/>
  <c r="L10" i="7"/>
  <c r="K10" i="7"/>
  <c r="J10" i="7"/>
  <c r="I10" i="7"/>
  <c r="H10" i="7"/>
  <c r="G10" i="7"/>
  <c r="F10" i="7"/>
  <c r="E10" i="7"/>
  <c r="D10" i="7"/>
  <c r="O11" i="6"/>
  <c r="N11" i="6"/>
  <c r="M11" i="6"/>
  <c r="L11" i="6"/>
  <c r="K11" i="6"/>
  <c r="I11" i="6"/>
  <c r="H11" i="6"/>
  <c r="G11" i="6"/>
  <c r="F11" i="6"/>
  <c r="E11" i="6"/>
  <c r="D11" i="6"/>
  <c r="H8" i="14"/>
  <c r="G8" i="14"/>
  <c r="H8" i="10"/>
  <c r="G8" i="10"/>
  <c r="H8" i="6"/>
  <c r="G8" i="6"/>
  <c r="O9" i="12"/>
  <c r="N9" i="12"/>
  <c r="M9" i="12"/>
  <c r="L9" i="12"/>
  <c r="K9" i="12"/>
  <c r="I9" i="12"/>
  <c r="H9" i="12"/>
  <c r="F9" i="12"/>
  <c r="E9" i="12"/>
  <c r="D9" i="12"/>
  <c r="L9" i="6"/>
  <c r="E9" i="6"/>
  <c r="D9" i="6"/>
  <c r="O9" i="6"/>
  <c r="N9" i="6"/>
  <c r="M9" i="6"/>
  <c r="K9" i="6"/>
  <c r="I9" i="6"/>
  <c r="H9" i="6"/>
  <c r="F9" i="6"/>
  <c r="O12" i="5"/>
  <c r="N12" i="5"/>
  <c r="M12" i="5"/>
  <c r="L12" i="5"/>
  <c r="K12" i="5"/>
  <c r="I12" i="5"/>
  <c r="H12" i="5"/>
  <c r="G12" i="5"/>
  <c r="F12" i="5"/>
  <c r="E12" i="5"/>
  <c r="D12" i="5"/>
  <c r="O10" i="5"/>
  <c r="N10" i="5"/>
  <c r="M10" i="5"/>
  <c r="L10" i="5"/>
  <c r="K10" i="5"/>
  <c r="H10" i="5"/>
  <c r="G10" i="5"/>
  <c r="F10" i="5"/>
  <c r="E10" i="5"/>
  <c r="D10" i="5"/>
  <c r="G15" i="14" l="1"/>
  <c r="D15" i="12"/>
  <c r="E15" i="12"/>
  <c r="F15" i="12"/>
  <c r="G15" i="10"/>
  <c r="G15" i="7"/>
  <c r="D15" i="7"/>
  <c r="E15" i="7"/>
  <c r="D15" i="6"/>
  <c r="F15" i="6"/>
  <c r="E15" i="6"/>
  <c r="G15" i="6"/>
  <c r="D15" i="5"/>
  <c r="E15" i="5"/>
  <c r="F15" i="5"/>
  <c r="G15" i="5"/>
</calcChain>
</file>

<file path=xl/comments1.xml><?xml version="1.0" encoding="utf-8"?>
<comments xmlns="http://schemas.openxmlformats.org/spreadsheetml/2006/main">
  <authors>
    <author>Анастасия Мухина</author>
  </authors>
  <commentList>
    <comment ref="A1" authorId="0" shapeId="0">
      <text>
        <r>
          <rPr>
            <b/>
            <sz val="9"/>
            <color indexed="81"/>
            <rFont val="Tahoma"/>
            <family val="2"/>
            <charset val="204"/>
          </rPr>
          <t>Анастасия Мухина: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18" authorId="0" shapeId="0">
      <text>
        <r>
          <rPr>
            <b/>
            <sz val="9"/>
            <color indexed="81"/>
            <rFont val="Tahoma"/>
            <family val="2"/>
            <charset val="204"/>
          </rPr>
          <t>Анастасия Мухина: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<sst xmlns="http://schemas.openxmlformats.org/spreadsheetml/2006/main" count="1084" uniqueCount="134">
  <si>
    <t>Энергетическая ценность (ккал)</t>
  </si>
  <si>
    <t>Б</t>
  </si>
  <si>
    <t>Ж</t>
  </si>
  <si>
    <t>У</t>
  </si>
  <si>
    <t>С</t>
  </si>
  <si>
    <t>А</t>
  </si>
  <si>
    <t>Е</t>
  </si>
  <si>
    <t>Са</t>
  </si>
  <si>
    <t>Р</t>
  </si>
  <si>
    <t>Мg</t>
  </si>
  <si>
    <t>Fe</t>
  </si>
  <si>
    <t>ИТОГО:</t>
  </si>
  <si>
    <t>Макароны отварные с маслом</t>
  </si>
  <si>
    <t>Пюре картофельное</t>
  </si>
  <si>
    <t>Хлеб ржано-пшеничный</t>
  </si>
  <si>
    <t>Рис отварной</t>
  </si>
  <si>
    <t>Тефтели мясные паровые</t>
  </si>
  <si>
    <t>Каша гречневая рассыпчатая</t>
  </si>
  <si>
    <r>
      <t>В</t>
    </r>
    <r>
      <rPr>
        <b/>
        <sz val="8"/>
        <color theme="1"/>
        <rFont val="Calibri"/>
        <family val="2"/>
        <charset val="204"/>
        <scheme val="minor"/>
      </rPr>
      <t>1</t>
    </r>
  </si>
  <si>
    <t>Приём пищи, наименование блюда</t>
  </si>
  <si>
    <t>Обед</t>
  </si>
  <si>
    <t>Масса порции</t>
  </si>
  <si>
    <t xml:space="preserve">МЕНЮ </t>
  </si>
  <si>
    <t>для обучающихся 1-4-х классов по категории от 7-11 лет общеобразовательных организаций Тверской</t>
  </si>
  <si>
    <t>требования к организации питания обучающихся в общеобразовательных учреждениях, учреждениях</t>
  </si>
  <si>
    <t>В соответствии нормативов Учреждения Российской Академии Медицинских Наук Научно-исследовательский</t>
  </si>
  <si>
    <t>институт питания РАМН, 2011</t>
  </si>
  <si>
    <t>Разработано государственным бюджетным профессиональным образовательным учреждением «Тверской колледж</t>
  </si>
  <si>
    <t>Сборник технических нормативов-Сборник рецептур но продукцию для обучающихся во всех образовательных</t>
  </si>
  <si>
    <t>№ рец.</t>
  </si>
  <si>
    <t>Минеральные вещества (мг.)</t>
  </si>
  <si>
    <t>Витамины (мг.)</t>
  </si>
  <si>
    <t>Пищевые вещества (г.)</t>
  </si>
  <si>
    <t>сервиса и туризма».</t>
  </si>
  <si>
    <t>учреждениях/Под ред, М.П.Могильного и В.А.Тутельяна,-М,:Де/1и плюс, 2015,-544с</t>
  </si>
  <si>
    <t>детей дошкольного и школьного возраста в организованных коллективах».</t>
  </si>
  <si>
    <t>начального и среднего профессионального образования» и МР 2.4.5.0107-15 «Организация питания</t>
  </si>
  <si>
    <t>области в соответствии требованиям СанПиН 2.4.5.2409-08 «Санитарно-эпидемиологические</t>
  </si>
  <si>
    <t>Салат из моркови с яблоками</t>
  </si>
  <si>
    <t xml:space="preserve"> Обед</t>
  </si>
  <si>
    <t xml:space="preserve">День: </t>
  </si>
  <si>
    <t>понедельник</t>
  </si>
  <si>
    <t xml:space="preserve">Неделя: </t>
  </si>
  <si>
    <t>первая</t>
  </si>
  <si>
    <t xml:space="preserve">Сезон: </t>
  </si>
  <si>
    <t>осенне-зимний</t>
  </si>
  <si>
    <t xml:space="preserve">Возрастная категория: </t>
  </si>
  <si>
    <t>7-11 лет</t>
  </si>
  <si>
    <t>вторник</t>
  </si>
  <si>
    <t>среда</t>
  </si>
  <si>
    <t>четверг</t>
  </si>
  <si>
    <t>Напиток из плодов шиповника</t>
  </si>
  <si>
    <t>пятница</t>
  </si>
  <si>
    <t>Компот из кураги</t>
  </si>
  <si>
    <t>В1</t>
  </si>
  <si>
    <t>Гуляш из отварного мяса (говядины) в томатно-сметанном соусе</t>
  </si>
  <si>
    <t>Салат из  моркови с яблоками и курагой</t>
  </si>
  <si>
    <t>Салат из белокачанной капусты с морковью</t>
  </si>
  <si>
    <t>Средние показания на день</t>
  </si>
  <si>
    <t>пищевые вещества</t>
  </si>
  <si>
    <t>энергет. ценн. ккал</t>
  </si>
  <si>
    <t>По меню</t>
  </si>
  <si>
    <t>Потребность по СаН ПиН (60-70%)</t>
  </si>
  <si>
    <t>46,2-53,9</t>
  </si>
  <si>
    <t>47,4-55,3</t>
  </si>
  <si>
    <t>201-234,5</t>
  </si>
  <si>
    <t>1410-1645</t>
  </si>
  <si>
    <t>По меню среднее за 10 дней</t>
  </si>
  <si>
    <t>Рыба тушеная в томате с овощами (минтай)</t>
  </si>
  <si>
    <t>Салат из свеклы отварной с яблоками</t>
  </si>
  <si>
    <t>вторая</t>
  </si>
  <si>
    <t>Наименование продуктов</t>
  </si>
  <si>
    <t>Количество продуктов в зависимости от возраста обучающихся</t>
  </si>
  <si>
    <t>в г, мл, брутто</t>
  </si>
  <si>
    <t>в г, мл, нетто</t>
  </si>
  <si>
    <t>Хлеб ржаной (ржано-пшеничный)</t>
  </si>
  <si>
    <t>Хлеб пшеничный</t>
  </si>
  <si>
    <t>Мука пшеничная</t>
  </si>
  <si>
    <t>Крупы, бобовые</t>
  </si>
  <si>
    <t>Макаронные изделия</t>
  </si>
  <si>
    <t>Картофель</t>
  </si>
  <si>
    <t>250 &lt;*&gt;</t>
  </si>
  <si>
    <t>Овощи свежие, зелень</t>
  </si>
  <si>
    <t>280 &lt;**&gt;</t>
  </si>
  <si>
    <t>Фрукты (плоды) свежие</t>
  </si>
  <si>
    <t>185 &lt;**&gt;</t>
  </si>
  <si>
    <t>Фрукты (плоды) сухие, в т.ч. шиповник</t>
  </si>
  <si>
    <t>Соки плодоовощные, напитки витаминизированные, в т.ч. инстантные</t>
  </si>
  <si>
    <t>Мясо жилованное (мясо на кости) 1 кат.</t>
  </si>
  <si>
    <t>77 (95)</t>
  </si>
  <si>
    <t>Цыплята 1 категории потрошеные (куры 1 кат. п/п)</t>
  </si>
  <si>
    <t>40 (51)</t>
  </si>
  <si>
    <t>Рыба-филе</t>
  </si>
  <si>
    <t>Колбасные изделия</t>
  </si>
  <si>
    <t>Молоко (массовая доля жира 2,5%, 3,2%)</t>
  </si>
  <si>
    <t>Кисломолочные продукты (массовая доля жира 2,5%, 3,2%)</t>
  </si>
  <si>
    <t>Творог (массовая доля жира не более 9%)</t>
  </si>
  <si>
    <t>Сыр</t>
  </si>
  <si>
    <t>Сметана (массовая доля жира не более 15%)</t>
  </si>
  <si>
    <t>Масло сливочное</t>
  </si>
  <si>
    <t>Масло растительное</t>
  </si>
  <si>
    <t>Яйцо диетическое</t>
  </si>
  <si>
    <t>1 шт.</t>
  </si>
  <si>
    <t>Сахар &lt;***&gt;</t>
  </si>
  <si>
    <t>Кондитерские изделия</t>
  </si>
  <si>
    <t>Чай</t>
  </si>
  <si>
    <t>Какао</t>
  </si>
  <si>
    <t>Дрожжи хлебопекарные</t>
  </si>
  <si>
    <t>Соль</t>
  </si>
  <si>
    <t>Рекомендуемые среднесуточные наборы пищевых продуктов, в том числе используемые для приготовления блюд и напитков, для обучающихся общеобразовательных учреждений</t>
  </si>
  <si>
    <t>Суп картофельный с фасолью на мясокостном бульоне</t>
  </si>
  <si>
    <t>Борщ с капустой и картофелем на мясокостном бульоне</t>
  </si>
  <si>
    <t>Винегрет овощной с растительным маслом (лук репчатый)</t>
  </si>
  <si>
    <t>Щи из свежей капусты с картофелем на мясокостном бульоне</t>
  </si>
  <si>
    <t>Котлета, рубленная из птицы 2 шт. по 50 гр</t>
  </si>
  <si>
    <t>Рассольник ленинградский с крупой пшеничной на мясокостном бульоне</t>
  </si>
  <si>
    <t>Печень свиная тушеная в соусе</t>
  </si>
  <si>
    <t>Суп с макаронными изделиями и картофелем на курином бульоне</t>
  </si>
  <si>
    <t>Куриные окорочка отварные с маслом</t>
  </si>
  <si>
    <t>Рыба припущенная (минтай) с маслом</t>
  </si>
  <si>
    <t>Суп крестьянский с крупой (перловой) на мясокостном бульоне</t>
  </si>
  <si>
    <t>Котлеты рыбные (треска) 2 шт.</t>
  </si>
  <si>
    <t>на осенне-зимний период</t>
  </si>
  <si>
    <t>Средняя за 10 дней</t>
  </si>
  <si>
    <r>
      <t>В</t>
    </r>
    <r>
      <rPr>
        <sz val="8"/>
        <color theme="1"/>
        <rFont val="Calibri"/>
        <family val="2"/>
        <charset val="204"/>
        <scheme val="minor"/>
      </rPr>
      <t>1</t>
    </r>
  </si>
  <si>
    <t>Сок  фруктовый (яблочный)</t>
  </si>
  <si>
    <t>Капуста тушеная</t>
  </si>
  <si>
    <t>Чай -заварка</t>
  </si>
  <si>
    <t>Компот из свежих яблок</t>
  </si>
  <si>
    <t>Сок  фруктовый (абрикосовый)</t>
  </si>
  <si>
    <t>Сок  фруктовый (грушевый)</t>
  </si>
  <si>
    <t>(1-го разового питания на 10 дней)</t>
  </si>
  <si>
    <t>МБОУ Славнинская СОШ</t>
  </si>
  <si>
    <t>Согласовано Директор МБОУ Славнинской СОШ А.Н. Филина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</si>
</sst>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25"/>
      <color theme="1"/>
      <name val="Times New Roman"/>
      <family val="1"/>
      <charset val="204"/>
    </font>
    <font>
      <sz val="25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b/>
      <sz val="11"/>
      <name val="Arial Cyr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rgb="FF454545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name val="Arial Cyr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3">
    <xf numFmtId="0" fontId="0" fillId="0" borderId="0" xfId="0"/>
    <xf numFmtId="0" fontId="0" fillId="0" borderId="0" xfId="0" applyFont="1"/>
    <xf numFmtId="0" fontId="10" fillId="0" borderId="0" xfId="0" applyFont="1" applyAlignment="1">
      <alignment horizontal="justify"/>
    </xf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Fill="1" applyBorder="1" applyAlignment="1" applyProtection="1">
      <alignment vertical="top" wrapText="1"/>
      <protection hidden="1"/>
    </xf>
    <xf numFmtId="0" fontId="2" fillId="0" borderId="0" xfId="0" applyFont="1" applyProtection="1">
      <protection hidden="1"/>
    </xf>
    <xf numFmtId="0" fontId="0" fillId="0" borderId="0" xfId="0" applyAlignment="1">
      <alignment wrapText="1"/>
    </xf>
    <xf numFmtId="0" fontId="16" fillId="0" borderId="0" xfId="0" applyFont="1" applyAlignment="1">
      <alignment horizontal="justify" vertical="center"/>
    </xf>
    <xf numFmtId="0" fontId="0" fillId="0" borderId="0" xfId="0" applyFill="1"/>
    <xf numFmtId="0" fontId="6" fillId="0" borderId="1" xfId="0" applyFont="1" applyFill="1" applyBorder="1" applyAlignment="1" applyProtection="1">
      <alignment horizontal="center" vertical="top" wrapText="1"/>
      <protection hidden="1"/>
    </xf>
    <xf numFmtId="43" fontId="7" fillId="0" borderId="1" xfId="1" applyFont="1" applyFill="1" applyBorder="1" applyAlignment="1" applyProtection="1">
      <alignment vertical="center" wrapText="1"/>
      <protection hidden="1"/>
    </xf>
    <xf numFmtId="43" fontId="7" fillId="0" borderId="0" xfId="1" applyFont="1" applyBorder="1" applyAlignment="1" applyProtection="1">
      <alignment vertical="top" wrapText="1"/>
      <protection hidden="1"/>
    </xf>
    <xf numFmtId="0" fontId="0" fillId="0" borderId="0" xfId="0" applyBorder="1"/>
    <xf numFmtId="0" fontId="2" fillId="0" borderId="0" xfId="0" applyFont="1" applyBorder="1" applyProtection="1">
      <protection hidden="1"/>
    </xf>
    <xf numFmtId="43" fontId="7" fillId="0" borderId="0" xfId="1" applyFont="1" applyBorder="1" applyAlignment="1" applyProtection="1">
      <alignment wrapText="1"/>
      <protection hidden="1"/>
    </xf>
    <xf numFmtId="43" fontId="5" fillId="5" borderId="0" xfId="0" applyNumberFormat="1" applyFont="1" applyFill="1" applyBorder="1" applyAlignment="1" applyProtection="1">
      <alignment horizontal="justify" vertical="center" wrapText="1"/>
      <protection hidden="1"/>
    </xf>
    <xf numFmtId="0" fontId="5" fillId="0" borderId="0" xfId="0" applyFont="1" applyBorder="1" applyAlignment="1" applyProtection="1">
      <alignment horizontal="justify" vertical="top" wrapText="1"/>
      <protection hidden="1"/>
    </xf>
    <xf numFmtId="0" fontId="17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Fill="1"/>
    <xf numFmtId="0" fontId="2" fillId="0" borderId="0" xfId="0" applyFont="1" applyFill="1" applyProtection="1">
      <protection hidden="1"/>
    </xf>
    <xf numFmtId="43" fontId="7" fillId="0" borderId="0" xfId="1" applyFont="1" applyFill="1" applyBorder="1" applyAlignment="1" applyProtection="1">
      <alignment horizontal="center" vertical="top" wrapText="1"/>
      <protection hidden="1"/>
    </xf>
    <xf numFmtId="43" fontId="2" fillId="0" borderId="1" xfId="0" applyNumberFormat="1" applyFont="1" applyBorder="1" applyAlignment="1" applyProtection="1">
      <alignment vertical="top" wrapText="1"/>
      <protection hidden="1"/>
    </xf>
    <xf numFmtId="0" fontId="6" fillId="0" borderId="0" xfId="0" applyFont="1" applyBorder="1" applyAlignment="1" applyProtection="1">
      <alignment horizontal="center" vertical="top" wrapText="1"/>
      <protection hidden="1"/>
    </xf>
    <xf numFmtId="43" fontId="7" fillId="0" borderId="0" xfId="1" applyFont="1" applyBorder="1" applyAlignment="1" applyProtection="1">
      <alignment vertical="center" wrapText="1"/>
      <protection hidden="1"/>
    </xf>
    <xf numFmtId="2" fontId="19" fillId="0" borderId="12" xfId="0" applyNumberFormat="1" applyFont="1" applyBorder="1" applyAlignment="1">
      <alignment horizontal="center" vertical="center" wrapText="1"/>
    </xf>
    <xf numFmtId="2" fontId="19" fillId="0" borderId="12" xfId="0" applyNumberFormat="1" applyFont="1" applyBorder="1" applyAlignment="1">
      <alignment horizontal="center" vertical="center"/>
    </xf>
    <xf numFmtId="2" fontId="19" fillId="0" borderId="15" xfId="0" applyNumberFormat="1" applyFont="1" applyBorder="1" applyAlignment="1">
      <alignment horizontal="center" vertical="center"/>
    </xf>
    <xf numFmtId="2" fontId="20" fillId="0" borderId="12" xfId="0" applyNumberFormat="1" applyFont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center" vertical="top" wrapText="1"/>
      <protection hidden="1"/>
    </xf>
    <xf numFmtId="0" fontId="6" fillId="0" borderId="0" xfId="0" applyFont="1" applyFill="1" applyBorder="1" applyAlignment="1" applyProtection="1">
      <alignment vertical="top" wrapText="1"/>
      <protection hidden="1"/>
    </xf>
    <xf numFmtId="43" fontId="7" fillId="0" borderId="0" xfId="1" applyFont="1" applyFill="1" applyBorder="1" applyAlignment="1" applyProtection="1">
      <alignment vertical="center" wrapText="1"/>
      <protection hidden="1"/>
    </xf>
    <xf numFmtId="0" fontId="21" fillId="0" borderId="0" xfId="0" applyFont="1" applyAlignment="1">
      <alignment horizontal="right" vertical="center" wrapText="1"/>
    </xf>
    <xf numFmtId="0" fontId="21" fillId="0" borderId="0" xfId="0" applyFont="1" applyAlignment="1">
      <alignment vertical="center" wrapText="1"/>
    </xf>
    <xf numFmtId="0" fontId="22" fillId="3" borderId="0" xfId="0" applyFont="1" applyFill="1" applyBorder="1" applyAlignment="1">
      <alignment vertical="center" wrapText="1"/>
    </xf>
    <xf numFmtId="0" fontId="2" fillId="0" borderId="1" xfId="0" applyFont="1" applyFill="1" applyBorder="1" applyAlignment="1" applyProtection="1">
      <alignment vertical="top" wrapText="1"/>
      <protection hidden="1"/>
    </xf>
    <xf numFmtId="43" fontId="0" fillId="0" borderId="0" xfId="0" applyNumberFormat="1"/>
    <xf numFmtId="0" fontId="8" fillId="0" borderId="2" xfId="0" applyFont="1" applyFill="1" applyBorder="1" applyAlignment="1" applyProtection="1">
      <alignment vertical="top" wrapText="1"/>
      <protection hidden="1"/>
    </xf>
    <xf numFmtId="0" fontId="0" fillId="0" borderId="0" xfId="0" applyFill="1" applyBorder="1"/>
    <xf numFmtId="0" fontId="2" fillId="0" borderId="0" xfId="0" applyFont="1" applyFill="1" applyBorder="1" applyProtection="1">
      <protection hidden="1"/>
    </xf>
    <xf numFmtId="0" fontId="8" fillId="0" borderId="3" xfId="0" applyFont="1" applyFill="1" applyBorder="1" applyAlignment="1" applyProtection="1">
      <alignment vertical="top" wrapText="1"/>
      <protection hidden="1"/>
    </xf>
    <xf numFmtId="0" fontId="8" fillId="0" borderId="4" xfId="0" applyFont="1" applyFill="1" applyBorder="1" applyAlignment="1" applyProtection="1">
      <alignment vertical="top" wrapText="1"/>
      <protection hidden="1"/>
    </xf>
    <xf numFmtId="0" fontId="2" fillId="0" borderId="0" xfId="0" applyFont="1" applyFill="1" applyAlignment="1" applyProtection="1">
      <alignment wrapText="1"/>
      <protection hidden="1"/>
    </xf>
    <xf numFmtId="0" fontId="23" fillId="0" borderId="0" xfId="0" applyFont="1" applyAlignment="1">
      <alignment horizontal="justify" vertical="center"/>
    </xf>
    <xf numFmtId="0" fontId="24" fillId="0" borderId="0" xfId="0" applyFont="1" applyAlignment="1">
      <alignment wrapText="1"/>
    </xf>
    <xf numFmtId="0" fontId="24" fillId="0" borderId="0" xfId="0" applyFont="1"/>
    <xf numFmtId="0" fontId="25" fillId="2" borderId="1" xfId="0" applyFont="1" applyFill="1" applyBorder="1" applyAlignment="1" applyProtection="1">
      <alignment horizontal="center" vertical="center" wrapText="1"/>
      <protection hidden="1"/>
    </xf>
    <xf numFmtId="0" fontId="28" fillId="0" borderId="1" xfId="0" applyFont="1" applyFill="1" applyBorder="1" applyAlignment="1" applyProtection="1">
      <alignment horizontal="center" vertical="top" wrapText="1"/>
      <protection hidden="1"/>
    </xf>
    <xf numFmtId="0" fontId="28" fillId="0" borderId="1" xfId="0" applyFont="1" applyFill="1" applyBorder="1" applyAlignment="1" applyProtection="1">
      <alignment vertical="top" wrapText="1"/>
      <protection hidden="1"/>
    </xf>
    <xf numFmtId="43" fontId="29" fillId="0" borderId="1" xfId="1" applyFont="1" applyFill="1" applyBorder="1" applyAlignment="1" applyProtection="1">
      <alignment vertical="center" wrapText="1"/>
      <protection hidden="1"/>
    </xf>
    <xf numFmtId="0" fontId="28" fillId="0" borderId="1" xfId="0" applyFont="1" applyBorder="1" applyAlignment="1" applyProtection="1">
      <alignment horizontal="center" vertical="top" wrapText="1"/>
      <protection hidden="1"/>
    </xf>
    <xf numFmtId="43" fontId="29" fillId="0" borderId="1" xfId="1" applyFont="1" applyBorder="1" applyAlignment="1" applyProtection="1">
      <alignment vertical="center" wrapText="1"/>
      <protection hidden="1"/>
    </xf>
    <xf numFmtId="0" fontId="24" fillId="0" borderId="0" xfId="0" applyFont="1" applyFill="1"/>
    <xf numFmtId="0" fontId="28" fillId="4" borderId="1" xfId="0" applyFont="1" applyFill="1" applyBorder="1" applyAlignment="1" applyProtection="1">
      <alignment horizontal="center" vertical="top" wrapText="1"/>
      <protection hidden="1"/>
    </xf>
    <xf numFmtId="0" fontId="28" fillId="4" borderId="1" xfId="0" applyFont="1" applyFill="1" applyBorder="1" applyAlignment="1" applyProtection="1">
      <alignment vertical="top" wrapText="1"/>
      <protection hidden="1"/>
    </xf>
    <xf numFmtId="2" fontId="32" fillId="0" borderId="12" xfId="0" applyNumberFormat="1" applyFont="1" applyBorder="1" applyAlignment="1">
      <alignment horizontal="center" vertical="center" wrapText="1"/>
    </xf>
    <xf numFmtId="2" fontId="32" fillId="0" borderId="12" xfId="0" applyNumberFormat="1" applyFont="1" applyBorder="1" applyAlignment="1">
      <alignment horizontal="center" vertical="center"/>
    </xf>
    <xf numFmtId="2" fontId="32" fillId="0" borderId="15" xfId="0" applyNumberFormat="1" applyFont="1" applyBorder="1" applyAlignment="1">
      <alignment horizontal="center" vertical="center"/>
    </xf>
    <xf numFmtId="2" fontId="33" fillId="0" borderId="12" xfId="0" applyNumberFormat="1" applyFont="1" applyBorder="1" applyAlignment="1">
      <alignment horizontal="center" vertical="center"/>
    </xf>
    <xf numFmtId="0" fontId="35" fillId="0" borderId="0" xfId="0" applyFont="1"/>
    <xf numFmtId="0" fontId="36" fillId="3" borderId="1" xfId="0" applyFont="1" applyFill="1" applyBorder="1" applyAlignment="1">
      <alignment vertical="center" wrapText="1"/>
    </xf>
    <xf numFmtId="0" fontId="36" fillId="3" borderId="1" xfId="0" applyFont="1" applyFill="1" applyBorder="1" applyAlignment="1">
      <alignment horizontal="left" vertical="top" wrapText="1"/>
    </xf>
    <xf numFmtId="2" fontId="37" fillId="0" borderId="1" xfId="0" applyNumberFormat="1" applyFont="1" applyBorder="1"/>
    <xf numFmtId="0" fontId="36" fillId="4" borderId="1" xfId="0" applyFont="1" applyFill="1" applyBorder="1" applyAlignment="1">
      <alignment horizontal="left" vertical="top" wrapText="1"/>
    </xf>
    <xf numFmtId="2" fontId="37" fillId="4" borderId="1" xfId="0" applyNumberFormat="1" applyFont="1" applyFill="1" applyBorder="1"/>
    <xf numFmtId="0" fontId="35" fillId="4" borderId="0" xfId="0" applyFont="1" applyFill="1"/>
    <xf numFmtId="0" fontId="35" fillId="7" borderId="0" xfId="0" applyFont="1" applyFill="1"/>
    <xf numFmtId="2" fontId="37" fillId="0" borderId="1" xfId="0" applyNumberFormat="1" applyFont="1" applyBorder="1" applyAlignment="1">
      <alignment horizontal="center"/>
    </xf>
    <xf numFmtId="0" fontId="24" fillId="0" borderId="0" xfId="0" applyFont="1" applyBorder="1"/>
    <xf numFmtId="0" fontId="2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4" fillId="0" borderId="0" xfId="0" applyNumberFormat="1" applyFont="1"/>
    <xf numFmtId="0" fontId="28" fillId="0" borderId="1" xfId="0" applyNumberFormat="1" applyFont="1" applyFill="1" applyBorder="1" applyAlignment="1" applyProtection="1">
      <alignment horizontal="center" vertical="top" wrapText="1"/>
      <protection hidden="1"/>
    </xf>
    <xf numFmtId="0" fontId="28" fillId="0" borderId="1" xfId="0" applyNumberFormat="1" applyFont="1" applyBorder="1" applyAlignment="1" applyProtection="1">
      <alignment horizontal="center" vertical="top" wrapText="1"/>
      <protection hidden="1"/>
    </xf>
    <xf numFmtId="0" fontId="28" fillId="4" borderId="1" xfId="0" applyNumberFormat="1" applyFont="1" applyFill="1" applyBorder="1" applyAlignment="1" applyProtection="1">
      <alignment horizontal="center" vertical="top" wrapText="1"/>
      <protection hidden="1"/>
    </xf>
    <xf numFmtId="0" fontId="24" fillId="0" borderId="0" xfId="0" applyNumberFormat="1" applyFont="1" applyBorder="1"/>
    <xf numFmtId="43" fontId="29" fillId="0" borderId="2" xfId="1" applyFont="1" applyFill="1" applyBorder="1" applyAlignment="1" applyProtection="1">
      <alignment vertical="center" wrapText="1"/>
      <protection hidden="1"/>
    </xf>
    <xf numFmtId="0" fontId="24" fillId="0" borderId="0" xfId="0" applyFont="1" applyFill="1" applyBorder="1"/>
    <xf numFmtId="0" fontId="0" fillId="0" borderId="0" xfId="0" applyBorder="1" applyAlignment="1">
      <alignment wrapText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2" fontId="2" fillId="0" borderId="1" xfId="0" applyNumberFormat="1" applyFont="1" applyBorder="1"/>
    <xf numFmtId="0" fontId="7" fillId="0" borderId="1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5" fillId="8" borderId="1" xfId="0" applyFont="1" applyFill="1" applyBorder="1" applyAlignment="1" applyProtection="1">
      <alignment vertical="top" wrapText="1"/>
      <protection hidden="1"/>
    </xf>
    <xf numFmtId="0" fontId="2" fillId="8" borderId="1" xfId="0" applyFont="1" applyFill="1" applyBorder="1" applyAlignment="1" applyProtection="1">
      <alignment vertical="top" wrapText="1"/>
      <protection hidden="1"/>
    </xf>
    <xf numFmtId="43" fontId="2" fillId="8" borderId="1" xfId="0" applyNumberFormat="1" applyFont="1" applyFill="1" applyBorder="1" applyAlignment="1" applyProtection="1">
      <alignment vertical="top" wrapText="1"/>
      <protection hidden="1"/>
    </xf>
    <xf numFmtId="43" fontId="5" fillId="8" borderId="1" xfId="0" applyNumberFormat="1" applyFont="1" applyFill="1" applyBorder="1" applyAlignment="1" applyProtection="1">
      <alignment vertical="top" wrapText="1"/>
      <protection hidden="1"/>
    </xf>
    <xf numFmtId="0" fontId="30" fillId="8" borderId="2" xfId="0" applyFont="1" applyFill="1" applyBorder="1" applyAlignment="1" applyProtection="1">
      <alignment vertical="top" wrapText="1"/>
      <protection hidden="1"/>
    </xf>
    <xf numFmtId="0" fontId="24" fillId="8" borderId="3" xfId="0" applyFont="1" applyFill="1" applyBorder="1" applyAlignment="1" applyProtection="1">
      <protection hidden="1"/>
    </xf>
    <xf numFmtId="0" fontId="24" fillId="8" borderId="3" xfId="0" applyNumberFormat="1" applyFont="1" applyFill="1" applyBorder="1" applyAlignment="1" applyProtection="1">
      <protection hidden="1"/>
    </xf>
    <xf numFmtId="43" fontId="29" fillId="8" borderId="3" xfId="0" applyNumberFormat="1" applyFont="1" applyFill="1" applyBorder="1" applyAlignment="1" applyProtection="1">
      <protection hidden="1"/>
    </xf>
    <xf numFmtId="43" fontId="24" fillId="8" borderId="3" xfId="0" applyNumberFormat="1" applyFont="1" applyFill="1" applyBorder="1" applyAlignment="1" applyProtection="1">
      <protection hidden="1"/>
    </xf>
    <xf numFmtId="43" fontId="5" fillId="8" borderId="1" xfId="0" applyNumberFormat="1" applyFont="1" applyFill="1" applyBorder="1" applyAlignment="1" applyProtection="1">
      <alignment horizontal="justify" vertical="center" wrapText="1"/>
      <protection hidden="1"/>
    </xf>
    <xf numFmtId="0" fontId="5" fillId="8" borderId="1" xfId="0" applyFont="1" applyFill="1" applyBorder="1" applyAlignment="1" applyProtection="1">
      <alignment horizontal="justify" vertical="center" wrapText="1"/>
      <protection hidden="1"/>
    </xf>
    <xf numFmtId="0" fontId="0" fillId="0" borderId="0" xfId="0" applyAlignment="1">
      <alignment vertical="top" wrapText="1"/>
    </xf>
    <xf numFmtId="0" fontId="6" fillId="0" borderId="5" xfId="0" applyFont="1" applyFill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16" fillId="0" borderId="0" xfId="0" applyFont="1" applyFill="1" applyAlignment="1">
      <alignment horizontal="justify" vertical="center"/>
    </xf>
    <xf numFmtId="0" fontId="0" fillId="0" borderId="0" xfId="0" applyFill="1" applyAlignment="1">
      <alignment wrapText="1"/>
    </xf>
    <xf numFmtId="0" fontId="3" fillId="0" borderId="1" xfId="0" applyFont="1" applyFill="1" applyBorder="1" applyAlignment="1" applyProtection="1">
      <alignment horizontal="center" vertical="center" wrapText="1"/>
      <protection hidden="1"/>
    </xf>
    <xf numFmtId="2" fontId="19" fillId="0" borderId="12" xfId="0" applyNumberFormat="1" applyFont="1" applyFill="1" applyBorder="1" applyAlignment="1">
      <alignment horizontal="center" vertical="center" wrapText="1"/>
    </xf>
    <xf numFmtId="2" fontId="19" fillId="0" borderId="12" xfId="0" applyNumberFormat="1" applyFont="1" applyFill="1" applyBorder="1" applyAlignment="1">
      <alignment horizontal="center" vertical="center"/>
    </xf>
    <xf numFmtId="2" fontId="19" fillId="0" borderId="15" xfId="0" applyNumberFormat="1" applyFont="1" applyFill="1" applyBorder="1" applyAlignment="1">
      <alignment horizontal="center" vertical="center"/>
    </xf>
    <xf numFmtId="2" fontId="20" fillId="0" borderId="12" xfId="0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vertical="center" wrapText="1"/>
    </xf>
    <xf numFmtId="0" fontId="36" fillId="0" borderId="1" xfId="0" applyFont="1" applyFill="1" applyBorder="1" applyAlignment="1">
      <alignment horizontal="left" vertical="top" wrapText="1"/>
    </xf>
    <xf numFmtId="2" fontId="37" fillId="0" borderId="1" xfId="0" applyNumberFormat="1" applyFont="1" applyFill="1" applyBorder="1"/>
    <xf numFmtId="2" fontId="2" fillId="0" borderId="1" xfId="0" applyNumberFormat="1" applyFont="1" applyFill="1" applyBorder="1"/>
    <xf numFmtId="2" fontId="37" fillId="0" borderId="1" xfId="0" applyNumberFormat="1" applyFont="1" applyFill="1" applyBorder="1" applyAlignment="1">
      <alignment horizontal="center"/>
    </xf>
    <xf numFmtId="0" fontId="0" fillId="8" borderId="0" xfId="0" applyFill="1"/>
    <xf numFmtId="0" fontId="10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/>
    <xf numFmtId="0" fontId="11" fillId="0" borderId="0" xfId="0" applyFont="1" applyAlignment="1">
      <alignment horizontal="center"/>
    </xf>
    <xf numFmtId="0" fontId="12" fillId="0" borderId="0" xfId="0" applyFont="1" applyAlignment="1"/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5" fillId="2" borderId="5" xfId="0" applyFont="1" applyFill="1" applyBorder="1" applyAlignment="1" applyProtection="1">
      <alignment horizontal="center" vertical="center" wrapText="1"/>
      <protection hidden="1"/>
    </xf>
    <xf numFmtId="0" fontId="5" fillId="2" borderId="6" xfId="0" applyFont="1" applyFill="1" applyBorder="1" applyAlignment="1" applyProtection="1">
      <alignment horizontal="center" vertical="center" wrapText="1"/>
      <protection hidden="1"/>
    </xf>
    <xf numFmtId="0" fontId="5" fillId="0" borderId="3" xfId="0" applyFont="1" applyFill="1" applyBorder="1" applyAlignment="1" applyProtection="1">
      <alignment horizontal="center" vertical="top" wrapText="1"/>
      <protection hidden="1"/>
    </xf>
    <xf numFmtId="0" fontId="5" fillId="0" borderId="4" xfId="0" applyFont="1" applyFill="1" applyBorder="1" applyAlignment="1" applyProtection="1">
      <alignment horizontal="center" vertical="top" wrapText="1"/>
      <protection hidden="1"/>
    </xf>
    <xf numFmtId="49" fontId="18" fillId="6" borderId="7" xfId="0" applyNumberFormat="1" applyFont="1" applyFill="1" applyBorder="1" applyAlignment="1">
      <alignment horizontal="center" vertical="center" wrapText="1"/>
    </xf>
    <xf numFmtId="49" fontId="18" fillId="6" borderId="8" xfId="0" applyNumberFormat="1" applyFont="1" applyFill="1" applyBorder="1" applyAlignment="1">
      <alignment horizontal="center" vertical="center" wrapText="1"/>
    </xf>
    <xf numFmtId="49" fontId="18" fillId="6" borderId="13" xfId="0" applyNumberFormat="1" applyFont="1" applyFill="1" applyBorder="1" applyAlignment="1">
      <alignment horizontal="center" vertical="center" wrapText="1"/>
    </xf>
    <xf numFmtId="49" fontId="18" fillId="6" borderId="14" xfId="0" applyNumberFormat="1" applyFont="1" applyFill="1" applyBorder="1" applyAlignment="1">
      <alignment horizontal="center" vertical="center" wrapText="1"/>
    </xf>
    <xf numFmtId="2" fontId="19" fillId="0" borderId="9" xfId="0" applyNumberFormat="1" applyFont="1" applyBorder="1" applyAlignment="1">
      <alignment horizontal="center" vertical="center"/>
    </xf>
    <xf numFmtId="2" fontId="19" fillId="0" borderId="10" xfId="0" applyNumberFormat="1" applyFont="1" applyBorder="1" applyAlignment="1">
      <alignment horizontal="center" vertical="center"/>
    </xf>
    <xf numFmtId="2" fontId="19" fillId="0" borderId="11" xfId="0" applyNumberFormat="1" applyFont="1" applyBorder="1" applyAlignment="1">
      <alignment horizontal="center" vertical="center"/>
    </xf>
    <xf numFmtId="49" fontId="18" fillId="6" borderId="16" xfId="0" applyNumberFormat="1" applyFont="1" applyFill="1" applyBorder="1" applyAlignment="1">
      <alignment horizontal="center" vertical="center" wrapText="1"/>
    </xf>
    <xf numFmtId="49" fontId="18" fillId="6" borderId="17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  <protection hidden="1"/>
    </xf>
    <xf numFmtId="0" fontId="5" fillId="2" borderId="3" xfId="0" applyFont="1" applyFill="1" applyBorder="1" applyAlignment="1" applyProtection="1">
      <alignment horizontal="center" vertical="center" wrapText="1"/>
      <protection hidden="1"/>
    </xf>
    <xf numFmtId="0" fontId="5" fillId="2" borderId="4" xfId="0" applyFont="1" applyFill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vertical="center" wrapText="1"/>
      <protection hidden="1"/>
    </xf>
    <xf numFmtId="0" fontId="36" fillId="3" borderId="1" xfId="0" applyFont="1" applyFill="1" applyBorder="1" applyAlignment="1">
      <alignment horizontal="center" vertical="center" wrapText="1"/>
    </xf>
    <xf numFmtId="0" fontId="36" fillId="3" borderId="2" xfId="0" applyFont="1" applyFill="1" applyBorder="1" applyAlignment="1">
      <alignment horizontal="center" vertical="center" wrapText="1"/>
    </xf>
    <xf numFmtId="0" fontId="36" fillId="3" borderId="4" xfId="0" applyFont="1" applyFill="1" applyBorder="1" applyAlignment="1">
      <alignment horizontal="center" vertical="center" wrapText="1"/>
    </xf>
    <xf numFmtId="0" fontId="36" fillId="3" borderId="5" xfId="0" applyFont="1" applyFill="1" applyBorder="1" applyAlignment="1">
      <alignment horizontal="center" vertical="center" wrapText="1"/>
    </xf>
    <xf numFmtId="0" fontId="36" fillId="3" borderId="6" xfId="0" applyFont="1" applyFill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/>
    </xf>
    <xf numFmtId="0" fontId="37" fillId="0" borderId="4" xfId="0" applyFont="1" applyBorder="1" applyAlignment="1">
      <alignment horizontal="center"/>
    </xf>
    <xf numFmtId="0" fontId="36" fillId="3" borderId="2" xfId="0" applyFont="1" applyFill="1" applyBorder="1" applyAlignment="1">
      <alignment horizontal="center" vertical="top" wrapText="1"/>
    </xf>
    <xf numFmtId="0" fontId="36" fillId="3" borderId="4" xfId="0" applyFont="1" applyFill="1" applyBorder="1" applyAlignment="1">
      <alignment horizontal="center" vertical="top" wrapText="1"/>
    </xf>
    <xf numFmtId="0" fontId="36" fillId="4" borderId="2" xfId="0" applyFont="1" applyFill="1" applyBorder="1" applyAlignment="1">
      <alignment horizontal="center" vertical="top" wrapText="1"/>
    </xf>
    <xf numFmtId="0" fontId="36" fillId="4" borderId="4" xfId="0" applyFont="1" applyFill="1" applyBorder="1" applyAlignment="1">
      <alignment horizontal="center" vertical="top" wrapText="1"/>
    </xf>
    <xf numFmtId="0" fontId="36" fillId="3" borderId="2" xfId="0" applyFont="1" applyFill="1" applyBorder="1" applyAlignment="1">
      <alignment horizontal="center" vertical="top"/>
    </xf>
    <xf numFmtId="0" fontId="36" fillId="3" borderId="4" xfId="0" applyFont="1" applyFill="1" applyBorder="1" applyAlignment="1">
      <alignment horizontal="center" vertical="top"/>
    </xf>
    <xf numFmtId="0" fontId="25" fillId="2" borderId="2" xfId="0" applyFont="1" applyFill="1" applyBorder="1" applyAlignment="1" applyProtection="1">
      <alignment horizontal="center" vertical="center" wrapText="1"/>
      <protection hidden="1"/>
    </xf>
    <xf numFmtId="0" fontId="25" fillId="2" borderId="3" xfId="0" applyFont="1" applyFill="1" applyBorder="1" applyAlignment="1" applyProtection="1">
      <alignment horizontal="center" vertical="center" wrapText="1"/>
      <protection hidden="1"/>
    </xf>
    <xf numFmtId="0" fontId="25" fillId="2" borderId="4" xfId="0" applyFont="1" applyFill="1" applyBorder="1" applyAlignment="1" applyProtection="1">
      <alignment horizontal="center" vertical="center" wrapText="1"/>
      <protection hidden="1"/>
    </xf>
    <xf numFmtId="0" fontId="25" fillId="2" borderId="5" xfId="0" applyFont="1" applyFill="1" applyBorder="1" applyAlignment="1" applyProtection="1">
      <alignment horizontal="center" vertical="center" wrapText="1"/>
      <protection hidden="1"/>
    </xf>
    <xf numFmtId="0" fontId="25" fillId="2" borderId="6" xfId="0" applyFont="1" applyFill="1" applyBorder="1" applyAlignment="1" applyProtection="1">
      <alignment horizontal="center" vertical="center" wrapText="1"/>
      <protection hidden="1"/>
    </xf>
    <xf numFmtId="0" fontId="24" fillId="0" borderId="6" xfId="0" applyFont="1" applyBorder="1" applyAlignment="1" applyProtection="1">
      <alignment vertical="center" wrapText="1"/>
      <protection hidden="1"/>
    </xf>
    <xf numFmtId="0" fontId="25" fillId="2" borderId="5" xfId="0" applyNumberFormat="1" applyFont="1" applyFill="1" applyBorder="1" applyAlignment="1" applyProtection="1">
      <alignment horizontal="center" vertical="center" wrapText="1"/>
      <protection hidden="1"/>
    </xf>
    <xf numFmtId="0" fontId="24" fillId="0" borderId="6" xfId="0" applyNumberFormat="1" applyFont="1" applyBorder="1" applyAlignment="1" applyProtection="1">
      <alignment horizontal="center" vertical="center" wrapText="1"/>
      <protection hidden="1"/>
    </xf>
    <xf numFmtId="49" fontId="31" fillId="6" borderId="7" xfId="0" applyNumberFormat="1" applyFont="1" applyFill="1" applyBorder="1" applyAlignment="1">
      <alignment horizontal="center" vertical="center" wrapText="1"/>
    </xf>
    <xf numFmtId="49" fontId="31" fillId="6" borderId="8" xfId="0" applyNumberFormat="1" applyFont="1" applyFill="1" applyBorder="1" applyAlignment="1">
      <alignment horizontal="center" vertical="center" wrapText="1"/>
    </xf>
    <xf numFmtId="49" fontId="31" fillId="6" borderId="13" xfId="0" applyNumberFormat="1" applyFont="1" applyFill="1" applyBorder="1" applyAlignment="1">
      <alignment horizontal="center" vertical="center" wrapText="1"/>
    </xf>
    <xf numFmtId="49" fontId="31" fillId="6" borderId="14" xfId="0" applyNumberFormat="1" applyFont="1" applyFill="1" applyBorder="1" applyAlignment="1">
      <alignment horizontal="center" vertical="center" wrapText="1"/>
    </xf>
    <xf numFmtId="2" fontId="32" fillId="0" borderId="9" xfId="0" applyNumberFormat="1" applyFont="1" applyBorder="1" applyAlignment="1">
      <alignment horizontal="center" vertical="center"/>
    </xf>
    <xf numFmtId="2" fontId="32" fillId="0" borderId="10" xfId="0" applyNumberFormat="1" applyFont="1" applyBorder="1" applyAlignment="1">
      <alignment horizontal="center" vertical="center"/>
    </xf>
    <xf numFmtId="2" fontId="32" fillId="0" borderId="11" xfId="0" applyNumberFormat="1" applyFont="1" applyBorder="1" applyAlignment="1">
      <alignment horizontal="center" vertical="center"/>
    </xf>
    <xf numFmtId="49" fontId="31" fillId="6" borderId="16" xfId="0" applyNumberFormat="1" applyFont="1" applyFill="1" applyBorder="1" applyAlignment="1">
      <alignment horizontal="center" vertical="center" wrapText="1"/>
    </xf>
    <xf numFmtId="49" fontId="31" fillId="6" borderId="17" xfId="0" applyNumberFormat="1" applyFont="1" applyFill="1" applyBorder="1" applyAlignment="1">
      <alignment horizontal="center" vertical="center" wrapText="1"/>
    </xf>
    <xf numFmtId="0" fontId="27" fillId="0" borderId="3" xfId="0" applyFont="1" applyBorder="1" applyAlignment="1" applyProtection="1">
      <alignment horizontal="center" vertical="top" wrapText="1"/>
      <protection hidden="1"/>
    </xf>
    <xf numFmtId="0" fontId="8" fillId="0" borderId="2" xfId="0" applyFont="1" applyFill="1" applyBorder="1" applyAlignment="1" applyProtection="1">
      <alignment horizontal="center" vertical="top" wrapText="1"/>
      <protection hidden="1"/>
    </xf>
    <xf numFmtId="0" fontId="8" fillId="0" borderId="3" xfId="0" applyFont="1" applyFill="1" applyBorder="1" applyAlignment="1" applyProtection="1">
      <alignment horizontal="center" vertical="top" wrapText="1"/>
      <protection hidden="1"/>
    </xf>
    <xf numFmtId="0" fontId="8" fillId="0" borderId="4" xfId="0" applyFont="1" applyFill="1" applyBorder="1" applyAlignment="1" applyProtection="1">
      <alignment horizontal="center" vertical="top" wrapText="1"/>
      <protection hidden="1"/>
    </xf>
    <xf numFmtId="0" fontId="3" fillId="0" borderId="2" xfId="0" applyFont="1" applyFill="1" applyBorder="1" applyAlignment="1" applyProtection="1">
      <alignment horizontal="center" vertical="center" wrapText="1"/>
      <protection hidden="1"/>
    </xf>
    <xf numFmtId="0" fontId="3" fillId="0" borderId="3" xfId="0" applyFont="1" applyFill="1" applyBorder="1" applyAlignment="1" applyProtection="1">
      <alignment horizontal="center" vertical="center" wrapText="1"/>
      <protection hidden="1"/>
    </xf>
    <xf numFmtId="0" fontId="3" fillId="0" borderId="4" xfId="0" applyFont="1" applyFill="1" applyBorder="1" applyAlignment="1" applyProtection="1">
      <alignment horizontal="center" vertical="center" wrapText="1"/>
      <protection hidden="1"/>
    </xf>
    <xf numFmtId="0" fontId="3" fillId="0" borderId="5" xfId="0" applyFont="1" applyFill="1" applyBorder="1" applyAlignment="1" applyProtection="1">
      <alignment horizontal="center" vertical="center" wrapText="1"/>
      <protection hidden="1"/>
    </xf>
    <xf numFmtId="0" fontId="3" fillId="0" borderId="6" xfId="0" applyFont="1" applyFill="1" applyBorder="1" applyAlignment="1" applyProtection="1">
      <alignment horizontal="center" vertical="center" wrapText="1"/>
      <protection hidden="1"/>
    </xf>
    <xf numFmtId="0" fontId="0" fillId="0" borderId="6" xfId="0" applyFill="1" applyBorder="1" applyAlignment="1" applyProtection="1">
      <alignment vertical="center" wrapText="1"/>
      <protection hidden="1"/>
    </xf>
    <xf numFmtId="0" fontId="0" fillId="0" borderId="6" xfId="0" applyFill="1" applyBorder="1" applyAlignment="1" applyProtection="1">
      <alignment horizontal="center" vertical="center" wrapText="1"/>
      <protection hidden="1"/>
    </xf>
    <xf numFmtId="49" fontId="18" fillId="0" borderId="7" xfId="0" applyNumberFormat="1" applyFont="1" applyFill="1" applyBorder="1" applyAlignment="1">
      <alignment horizontal="center" vertical="center" wrapText="1"/>
    </xf>
    <xf numFmtId="49" fontId="18" fillId="0" borderId="8" xfId="0" applyNumberFormat="1" applyFont="1" applyFill="1" applyBorder="1" applyAlignment="1">
      <alignment horizontal="center" vertical="center" wrapText="1"/>
    </xf>
    <xf numFmtId="49" fontId="18" fillId="0" borderId="21" xfId="0" applyNumberFormat="1" applyFont="1" applyFill="1" applyBorder="1" applyAlignment="1">
      <alignment horizontal="center" vertical="center" wrapText="1"/>
    </xf>
    <xf numFmtId="49" fontId="18" fillId="0" borderId="13" xfId="0" applyNumberFormat="1" applyFont="1" applyFill="1" applyBorder="1" applyAlignment="1">
      <alignment horizontal="center" vertical="center" wrapText="1"/>
    </xf>
    <xf numFmtId="49" fontId="18" fillId="0" borderId="14" xfId="0" applyNumberFormat="1" applyFont="1" applyFill="1" applyBorder="1" applyAlignment="1">
      <alignment horizontal="center" vertical="center" wrapText="1"/>
    </xf>
    <xf numFmtId="49" fontId="18" fillId="0" borderId="22" xfId="0" applyNumberFormat="1" applyFont="1" applyFill="1" applyBorder="1" applyAlignment="1">
      <alignment horizontal="center" vertical="center" wrapText="1"/>
    </xf>
    <xf numFmtId="0" fontId="34" fillId="0" borderId="18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6" fillId="0" borderId="5" xfId="0" applyFont="1" applyFill="1" applyBorder="1" applyAlignment="1">
      <alignment horizontal="center" vertical="center" wrapText="1"/>
    </xf>
    <xf numFmtId="0" fontId="36" fillId="0" borderId="6" xfId="0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 wrapText="1"/>
    </xf>
    <xf numFmtId="0" fontId="36" fillId="0" borderId="4" xfId="0" applyFont="1" applyFill="1" applyBorder="1" applyAlignment="1">
      <alignment horizontal="center" vertical="center" wrapText="1"/>
    </xf>
    <xf numFmtId="2" fontId="19" fillId="0" borderId="9" xfId="0" applyNumberFormat="1" applyFont="1" applyFill="1" applyBorder="1" applyAlignment="1">
      <alignment horizontal="center" vertical="center"/>
    </xf>
    <xf numFmtId="2" fontId="19" fillId="0" borderId="10" xfId="0" applyNumberFormat="1" applyFont="1" applyFill="1" applyBorder="1" applyAlignment="1">
      <alignment horizontal="center" vertical="center"/>
    </xf>
    <xf numFmtId="2" fontId="19" fillId="0" borderId="11" xfId="0" applyNumberFormat="1" applyFont="1" applyFill="1" applyBorder="1" applyAlignment="1">
      <alignment horizontal="center" vertical="center"/>
    </xf>
    <xf numFmtId="49" fontId="18" fillId="0" borderId="16" xfId="0" applyNumberFormat="1" applyFont="1" applyFill="1" applyBorder="1" applyAlignment="1">
      <alignment horizontal="center" vertical="center" wrapText="1"/>
    </xf>
    <xf numFmtId="49" fontId="18" fillId="0" borderId="17" xfId="0" applyNumberFormat="1" applyFont="1" applyFill="1" applyBorder="1" applyAlignment="1">
      <alignment horizontal="center" vertical="center" wrapText="1"/>
    </xf>
    <xf numFmtId="49" fontId="18" fillId="0" borderId="23" xfId="0" applyNumberFormat="1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/>
    </xf>
    <xf numFmtId="0" fontId="37" fillId="0" borderId="4" xfId="0" applyFont="1" applyFill="1" applyBorder="1" applyAlignment="1">
      <alignment horizontal="center"/>
    </xf>
    <xf numFmtId="0" fontId="36" fillId="0" borderId="2" xfId="0" applyFont="1" applyFill="1" applyBorder="1" applyAlignment="1">
      <alignment horizontal="center" vertical="top" wrapText="1"/>
    </xf>
    <xf numFmtId="0" fontId="36" fillId="0" borderId="4" xfId="0" applyFont="1" applyFill="1" applyBorder="1" applyAlignment="1">
      <alignment horizontal="center" vertical="top" wrapText="1"/>
    </xf>
    <xf numFmtId="0" fontId="36" fillId="0" borderId="2" xfId="0" applyFont="1" applyFill="1" applyBorder="1" applyAlignment="1">
      <alignment horizontal="center" vertical="top"/>
    </xf>
    <xf numFmtId="0" fontId="36" fillId="0" borderId="4" xfId="0" applyFont="1" applyFill="1" applyBorder="1" applyAlignment="1">
      <alignment horizontal="center" vertical="top"/>
    </xf>
    <xf numFmtId="0" fontId="3" fillId="2" borderId="2" xfId="0" applyFont="1" applyFill="1" applyBorder="1" applyAlignment="1" applyProtection="1">
      <alignment horizontal="center" vertical="center" wrapText="1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3" fillId="2" borderId="5" xfId="0" applyFont="1" applyFill="1" applyBorder="1" applyAlignment="1" applyProtection="1">
      <alignment horizontal="center" vertical="center" wrapText="1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0" fillId="0" borderId="6" xfId="0" applyBorder="1" applyAlignment="1" applyProtection="1">
      <alignment vertical="center" wrapText="1"/>
      <protection hidden="1"/>
    </xf>
    <xf numFmtId="0" fontId="0" fillId="0" borderId="6" xfId="0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top" wrapText="1"/>
      <protection hidden="1"/>
    </xf>
    <xf numFmtId="0" fontId="9" fillId="0" borderId="1" xfId="0" applyFont="1" applyFill="1" applyBorder="1" applyAlignment="1" applyProtection="1">
      <alignment horizontal="center" vertical="top" wrapText="1"/>
      <protection hidden="1"/>
    </xf>
    <xf numFmtId="0" fontId="22" fillId="3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O22"/>
  <sheetViews>
    <sheetView view="pageBreakPreview" zoomScale="70" zoomScaleNormal="70" zoomScaleSheetLayoutView="70" workbookViewId="0">
      <selection activeCell="I32" sqref="I32"/>
    </sheetView>
  </sheetViews>
  <sheetFormatPr defaultColWidth="8.85546875" defaultRowHeight="15" x14ac:dyDescent="0.25"/>
  <cols>
    <col min="1" max="1" width="8.85546875" style="1"/>
    <col min="2" max="2" width="39.5703125" style="1" customWidth="1"/>
    <col min="3" max="6" width="8.85546875" style="1"/>
    <col min="7" max="7" width="12.7109375" style="1" bestFit="1" customWidth="1"/>
    <col min="8" max="16384" width="8.85546875" style="1"/>
  </cols>
  <sheetData>
    <row r="1" spans="1:15" ht="32.25" x14ac:dyDescent="0.5">
      <c r="A1" s="125" t="s">
        <v>22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</row>
    <row r="2" spans="1:15" ht="32.25" x14ac:dyDescent="0.5">
      <c r="A2" s="3"/>
      <c r="B2" s="122" t="s">
        <v>133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32.25" x14ac:dyDescent="0.5">
      <c r="A3" s="3"/>
      <c r="B3" s="12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32.25" x14ac:dyDescent="0.5">
      <c r="A4" s="125" t="s">
        <v>131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</row>
    <row r="5" spans="1:15" ht="21" x14ac:dyDescent="0.35">
      <c r="E5" s="5" t="s">
        <v>122</v>
      </c>
      <c r="F5" s="5"/>
    </row>
    <row r="7" spans="1:15" ht="21" x14ac:dyDescent="0.35">
      <c r="A7" s="123" t="s">
        <v>23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</row>
    <row r="8" spans="1:15" ht="21" x14ac:dyDescent="0.35">
      <c r="A8" s="123" t="s">
        <v>37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</row>
    <row r="9" spans="1:15" ht="21" x14ac:dyDescent="0.35">
      <c r="A9" s="123" t="s">
        <v>24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</row>
    <row r="10" spans="1:15" ht="21" x14ac:dyDescent="0.35">
      <c r="A10" s="123" t="s">
        <v>36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</row>
    <row r="11" spans="1:15" ht="21" x14ac:dyDescent="0.35">
      <c r="A11" s="123" t="s">
        <v>35</v>
      </c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</row>
    <row r="12" spans="1:15" ht="21" x14ac:dyDescent="0.35">
      <c r="A12" s="123" t="s">
        <v>132</v>
      </c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</row>
    <row r="13" spans="1:15" ht="21" x14ac:dyDescent="0.3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 ht="21" x14ac:dyDescent="0.3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ht="21" x14ac:dyDescent="0.35">
      <c r="A15" s="127" t="s">
        <v>28</v>
      </c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</row>
    <row r="16" spans="1:15" ht="21" x14ac:dyDescent="0.35">
      <c r="A16" s="127" t="s">
        <v>34</v>
      </c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</row>
    <row r="17" spans="1:15" ht="21" x14ac:dyDescent="0.35">
      <c r="A17" s="127" t="s">
        <v>25</v>
      </c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</row>
    <row r="18" spans="1:15" ht="21" x14ac:dyDescent="0.35">
      <c r="A18" s="127" t="s">
        <v>26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</row>
    <row r="19" spans="1:15" ht="21" x14ac:dyDescent="0.35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 ht="21" x14ac:dyDescent="0.35">
      <c r="A20" s="127" t="s">
        <v>27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</row>
    <row r="21" spans="1:15" ht="21" x14ac:dyDescent="0.35">
      <c r="A21" s="127" t="s">
        <v>33</v>
      </c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</row>
    <row r="22" spans="1:15" ht="18.75" x14ac:dyDescent="0.3">
      <c r="A22" s="2"/>
    </row>
  </sheetData>
  <sheetProtection selectLockedCells="1" selectUnlockedCells="1"/>
  <mergeCells count="14">
    <mergeCell ref="A20:O20"/>
    <mergeCell ref="A21:O21"/>
    <mergeCell ref="A11:O11"/>
    <mergeCell ref="A12:O12"/>
    <mergeCell ref="A15:O15"/>
    <mergeCell ref="A16:O16"/>
    <mergeCell ref="A17:O17"/>
    <mergeCell ref="A18:O18"/>
    <mergeCell ref="A10:O10"/>
    <mergeCell ref="A1:O1"/>
    <mergeCell ref="A4:O4"/>
    <mergeCell ref="A7:O7"/>
    <mergeCell ref="A8:O8"/>
    <mergeCell ref="A9:O9"/>
  </mergeCells>
  <printOptions horizontalCentered="1" verticalCentered="1"/>
  <pageMargins left="0.70866141732283472" right="0.70866141732283472" top="0.43307086614173229" bottom="0.62992125984251968" header="0.31496062992125984" footer="0.31496062992125984"/>
  <pageSetup paperSize="9" scale="78" fitToHeight="6" orientation="landscape" r:id="rId1"/>
  <headerFooter differentFirst="1">
    <oddFooter>&amp;CМухина Анастасия Викторовна, ГБПОУ "Тверской колледж сервиса и туризма"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O54"/>
  <sheetViews>
    <sheetView view="pageBreakPreview" topLeftCell="A18" zoomScale="80" zoomScaleNormal="100" zoomScaleSheetLayoutView="80" workbookViewId="0">
      <selection activeCell="G53" sqref="G53"/>
    </sheetView>
  </sheetViews>
  <sheetFormatPr defaultRowHeight="15" x14ac:dyDescent="0.25"/>
  <cols>
    <col min="1" max="1" width="12.140625" customWidth="1"/>
    <col min="2" max="2" width="38.5703125" bestFit="1" customWidth="1"/>
    <col min="7" max="7" width="10.28515625" customWidth="1"/>
    <col min="8" max="8" width="11.42578125" customWidth="1"/>
    <col min="9" max="9" width="11.140625" customWidth="1"/>
    <col min="12" max="12" width="10.140625" bestFit="1" customWidth="1"/>
    <col min="13" max="13" width="9.28515625" customWidth="1"/>
  </cols>
  <sheetData>
    <row r="1" spans="1:15" ht="15.75" x14ac:dyDescent="0.25">
      <c r="A1" s="12" t="s">
        <v>40</v>
      </c>
      <c r="B1" s="11" t="s">
        <v>50</v>
      </c>
    </row>
    <row r="2" spans="1:15" ht="15.75" x14ac:dyDescent="0.25">
      <c r="A2" s="12" t="s">
        <v>42</v>
      </c>
      <c r="B2" s="11" t="s">
        <v>70</v>
      </c>
    </row>
    <row r="3" spans="1:15" ht="15.75" x14ac:dyDescent="0.25">
      <c r="A3" s="12" t="s">
        <v>44</v>
      </c>
      <c r="B3" s="11" t="s">
        <v>45</v>
      </c>
    </row>
    <row r="4" spans="1:15" ht="63" x14ac:dyDescent="0.25">
      <c r="A4" s="12" t="s">
        <v>46</v>
      </c>
      <c r="B4" s="11" t="s">
        <v>47</v>
      </c>
    </row>
    <row r="5" spans="1:15" ht="15.75" x14ac:dyDescent="0.25">
      <c r="A5" s="216" t="s">
        <v>29</v>
      </c>
      <c r="B5" s="216" t="s">
        <v>19</v>
      </c>
      <c r="C5" s="216" t="s">
        <v>21</v>
      </c>
      <c r="D5" s="213" t="s">
        <v>32</v>
      </c>
      <c r="E5" s="214"/>
      <c r="F5" s="215"/>
      <c r="G5" s="216" t="s">
        <v>0</v>
      </c>
      <c r="H5" s="213" t="s">
        <v>31</v>
      </c>
      <c r="I5" s="214"/>
      <c r="J5" s="214"/>
      <c r="K5" s="215"/>
      <c r="L5" s="213" t="s">
        <v>30</v>
      </c>
      <c r="M5" s="214"/>
      <c r="N5" s="214"/>
      <c r="O5" s="215"/>
    </row>
    <row r="6" spans="1:15" ht="15.75" x14ac:dyDescent="0.25">
      <c r="A6" s="217"/>
      <c r="B6" s="218"/>
      <c r="C6" s="219"/>
      <c r="D6" s="8" t="s">
        <v>1</v>
      </c>
      <c r="E6" s="8" t="s">
        <v>2</v>
      </c>
      <c r="F6" s="8" t="s">
        <v>3</v>
      </c>
      <c r="G6" s="217"/>
      <c r="H6" s="8" t="s">
        <v>18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</row>
    <row r="7" spans="1:15" s="27" customFormat="1" ht="16.149999999999999" customHeight="1" x14ac:dyDescent="0.2">
      <c r="A7" s="220" t="s">
        <v>39</v>
      </c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</row>
    <row r="8" spans="1:15" s="13" customFormat="1" x14ac:dyDescent="0.25">
      <c r="A8" s="14">
        <v>54</v>
      </c>
      <c r="B8" s="9" t="s">
        <v>69</v>
      </c>
      <c r="C8" s="14">
        <v>100</v>
      </c>
      <c r="D8" s="15">
        <f>1.9</f>
        <v>1.9</v>
      </c>
      <c r="E8" s="15">
        <v>6.08</v>
      </c>
      <c r="F8" s="15">
        <v>11.2</v>
      </c>
      <c r="G8" s="15">
        <v>103.9</v>
      </c>
      <c r="H8" s="15">
        <v>0.02</v>
      </c>
      <c r="I8" s="15">
        <v>6.44</v>
      </c>
      <c r="J8" s="15"/>
      <c r="K8" s="15">
        <v>10.6</v>
      </c>
      <c r="L8" s="15">
        <v>29.27</v>
      </c>
      <c r="M8" s="15">
        <v>31.8</v>
      </c>
      <c r="N8" s="15">
        <v>16.829999999999998</v>
      </c>
      <c r="O8" s="15">
        <v>1.48</v>
      </c>
    </row>
    <row r="9" spans="1:15" s="27" customFormat="1" ht="25.5" x14ac:dyDescent="0.2">
      <c r="A9" s="14">
        <v>98</v>
      </c>
      <c r="B9" s="9" t="s">
        <v>120</v>
      </c>
      <c r="C9" s="14">
        <v>250</v>
      </c>
      <c r="D9" s="15">
        <f>5.93/4+0.8</f>
        <v>2.2824999999999998</v>
      </c>
      <c r="E9" s="15">
        <f>19.67/4+0.2</f>
        <v>5.1175000000000006</v>
      </c>
      <c r="F9" s="15">
        <f>24.36/4</f>
        <v>6.09</v>
      </c>
      <c r="G9" s="15">
        <f>305/4+5+30</f>
        <v>111.25</v>
      </c>
      <c r="H9" s="15">
        <f>0.17/4</f>
        <v>4.2500000000000003E-2</v>
      </c>
      <c r="I9" s="15">
        <f>39.5/4</f>
        <v>9.875</v>
      </c>
      <c r="J9" s="15"/>
      <c r="K9" s="15">
        <f>9.2/4</f>
        <v>2.2999999999999998</v>
      </c>
      <c r="L9" s="15">
        <f>143.5/4+2</f>
        <v>37.875</v>
      </c>
      <c r="M9" s="15">
        <f>134.3/4</f>
        <v>33.575000000000003</v>
      </c>
      <c r="N9" s="15">
        <f>56.7/4</f>
        <v>14.175000000000001</v>
      </c>
      <c r="O9" s="15">
        <f>2.3/4</f>
        <v>0.57499999999999996</v>
      </c>
    </row>
    <row r="10" spans="1:15" s="26" customFormat="1" ht="12.75" x14ac:dyDescent="0.2">
      <c r="A10" s="14">
        <v>234</v>
      </c>
      <c r="B10" s="9" t="s">
        <v>121</v>
      </c>
      <c r="C10" s="14">
        <v>110</v>
      </c>
      <c r="D10" s="15">
        <v>13.98</v>
      </c>
      <c r="E10" s="15">
        <f>3.71*2</f>
        <v>7.42</v>
      </c>
      <c r="F10" s="15">
        <f>9.97*2</f>
        <v>19.940000000000001</v>
      </c>
      <c r="G10" s="15">
        <f>120*2</f>
        <v>240</v>
      </c>
      <c r="H10" s="15">
        <f>0.047*2</f>
        <v>9.4E-2</v>
      </c>
      <c r="I10" s="15">
        <f>0.88*2</f>
        <v>1.76</v>
      </c>
      <c r="J10" s="15">
        <f>15*2</f>
        <v>30</v>
      </c>
      <c r="K10" s="15">
        <f>2.61*2</f>
        <v>5.22</v>
      </c>
      <c r="L10" s="15">
        <f>40.92*2</f>
        <v>81.84</v>
      </c>
      <c r="M10" s="15">
        <f>92.31*2</f>
        <v>184.62</v>
      </c>
      <c r="N10" s="15">
        <f>27.56*2</f>
        <v>55.12</v>
      </c>
      <c r="O10" s="15">
        <f>0.77*2</f>
        <v>1.54</v>
      </c>
    </row>
    <row r="11" spans="1:15" s="13" customFormat="1" x14ac:dyDescent="0.25">
      <c r="A11" s="106">
        <v>139</v>
      </c>
      <c r="B11" s="9" t="s">
        <v>126</v>
      </c>
      <c r="C11" s="106">
        <v>100</v>
      </c>
      <c r="D11" s="15">
        <v>2.04</v>
      </c>
      <c r="E11" s="15">
        <v>3.68</v>
      </c>
      <c r="F11" s="15">
        <v>7.89</v>
      </c>
      <c r="G11" s="15">
        <v>77</v>
      </c>
      <c r="H11" s="15">
        <v>0.04</v>
      </c>
      <c r="I11" s="15">
        <v>17.079999999999998</v>
      </c>
      <c r="J11" s="15">
        <v>0</v>
      </c>
      <c r="K11" s="15">
        <v>1.95</v>
      </c>
      <c r="L11" s="15">
        <v>58.75</v>
      </c>
      <c r="M11" s="15">
        <v>40.69</v>
      </c>
      <c r="N11" s="15">
        <v>20.85</v>
      </c>
      <c r="O11" s="15">
        <v>0.83</v>
      </c>
    </row>
    <row r="12" spans="1:15" s="13" customFormat="1" x14ac:dyDescent="0.25">
      <c r="A12" s="42"/>
      <c r="B12" s="9" t="s">
        <v>14</v>
      </c>
      <c r="C12" s="14">
        <v>40</v>
      </c>
      <c r="D12" s="15">
        <v>2.2400000000000002</v>
      </c>
      <c r="E12" s="15">
        <v>0.88</v>
      </c>
      <c r="F12" s="15">
        <v>19.760000000000002</v>
      </c>
      <c r="G12" s="15">
        <v>91.96</v>
      </c>
      <c r="H12" s="15">
        <v>0.04</v>
      </c>
      <c r="I12" s="15"/>
      <c r="J12" s="15"/>
      <c r="K12" s="15">
        <v>0.36</v>
      </c>
      <c r="L12" s="15">
        <v>9.1999999999999993</v>
      </c>
      <c r="M12" s="15">
        <v>42.4</v>
      </c>
      <c r="N12" s="15">
        <v>10</v>
      </c>
      <c r="O12" s="15">
        <v>1.24</v>
      </c>
    </row>
    <row r="13" spans="1:15" s="13" customFormat="1" x14ac:dyDescent="0.25">
      <c r="A13" s="107">
        <v>389</v>
      </c>
      <c r="B13" s="9" t="s">
        <v>125</v>
      </c>
      <c r="C13" s="88">
        <v>200</v>
      </c>
      <c r="D13" s="89">
        <f>1</f>
        <v>1</v>
      </c>
      <c r="E13" s="88">
        <v>0</v>
      </c>
      <c r="F13" s="89">
        <f>101/5</f>
        <v>20.2</v>
      </c>
      <c r="G13" s="88">
        <f>424/5</f>
        <v>84.8</v>
      </c>
      <c r="H13" s="89">
        <f>0.11/5</f>
        <v>2.1999999999999999E-2</v>
      </c>
      <c r="I13" s="88">
        <f>30/5</f>
        <v>6</v>
      </c>
      <c r="J13" s="89">
        <v>0</v>
      </c>
      <c r="K13" s="88">
        <f>1/5</f>
        <v>0.2</v>
      </c>
      <c r="L13" s="89">
        <f>70/5</f>
        <v>14</v>
      </c>
      <c r="M13" s="88">
        <f>70/5</f>
        <v>14</v>
      </c>
      <c r="N13" s="89">
        <f>40/5</f>
        <v>8</v>
      </c>
      <c r="O13" s="90">
        <f>14/5</f>
        <v>2.8</v>
      </c>
    </row>
    <row r="14" spans="1:15" s="13" customFormat="1" x14ac:dyDescent="0.25">
      <c r="A14" s="42"/>
      <c r="B14" s="9" t="s">
        <v>76</v>
      </c>
      <c r="C14" s="92">
        <v>40</v>
      </c>
      <c r="D14" s="15">
        <v>3.16</v>
      </c>
      <c r="E14" s="15">
        <v>0.4</v>
      </c>
      <c r="F14" s="15">
        <v>19.32</v>
      </c>
      <c r="G14" s="15">
        <v>93.52</v>
      </c>
      <c r="H14" s="15">
        <v>0.04</v>
      </c>
      <c r="I14" s="15"/>
      <c r="J14" s="15"/>
      <c r="K14" s="15">
        <v>0.52</v>
      </c>
      <c r="L14" s="15">
        <v>9.1999999999999993</v>
      </c>
      <c r="M14" s="15">
        <v>34.799999999999997</v>
      </c>
      <c r="N14" s="15">
        <v>13.2</v>
      </c>
      <c r="O14" s="15">
        <v>0.44</v>
      </c>
    </row>
    <row r="15" spans="1:15" s="10" customFormat="1" ht="16.149999999999999" customHeight="1" x14ac:dyDescent="0.2">
      <c r="A15" s="93" t="s">
        <v>11</v>
      </c>
      <c r="B15" s="94"/>
      <c r="C15" s="94"/>
      <c r="D15" s="102">
        <f t="shared" ref="D15:F15" si="0">SUM(D8:D14)</f>
        <v>26.602500000000003</v>
      </c>
      <c r="E15" s="102">
        <f t="shared" si="0"/>
        <v>23.577499999999997</v>
      </c>
      <c r="F15" s="102">
        <f t="shared" si="0"/>
        <v>104.4</v>
      </c>
      <c r="G15" s="102">
        <f>SUM(G8:G14)</f>
        <v>802.43</v>
      </c>
      <c r="H15" s="102"/>
      <c r="I15" s="102"/>
      <c r="J15" s="102"/>
      <c r="K15" s="102"/>
      <c r="L15" s="102"/>
      <c r="M15" s="102"/>
      <c r="N15" s="102"/>
      <c r="O15" s="102"/>
    </row>
    <row r="16" spans="1:15" ht="15.75" thickBot="1" x14ac:dyDescent="0.3"/>
    <row r="17" spans="2:12" ht="26.25" thickBot="1" x14ac:dyDescent="0.3">
      <c r="B17" s="133" t="s">
        <v>58</v>
      </c>
      <c r="C17" s="134"/>
      <c r="D17" s="134"/>
      <c r="E17" s="134"/>
      <c r="F17" s="137" t="s">
        <v>59</v>
      </c>
      <c r="G17" s="138"/>
      <c r="H17" s="139"/>
      <c r="I17" s="32" t="s">
        <v>60</v>
      </c>
    </row>
    <row r="18" spans="2:12" ht="15.75" thickBot="1" x14ac:dyDescent="0.3">
      <c r="B18" s="135"/>
      <c r="C18" s="136"/>
      <c r="D18" s="136"/>
      <c r="E18" s="136"/>
      <c r="F18" s="33" t="s">
        <v>1</v>
      </c>
      <c r="G18" s="33" t="s">
        <v>2</v>
      </c>
      <c r="H18" s="33" t="s">
        <v>3</v>
      </c>
      <c r="I18" s="34"/>
    </row>
    <row r="19" spans="2:12" ht="15.75" thickBot="1" x14ac:dyDescent="0.3">
      <c r="B19" s="140" t="s">
        <v>62</v>
      </c>
      <c r="C19" s="141"/>
      <c r="D19" s="141"/>
      <c r="E19" s="141"/>
      <c r="F19" s="33" t="s">
        <v>63</v>
      </c>
      <c r="G19" s="33" t="s">
        <v>64</v>
      </c>
      <c r="H19" s="33" t="s">
        <v>65</v>
      </c>
      <c r="I19" s="33" t="s">
        <v>66</v>
      </c>
    </row>
    <row r="20" spans="2:12" ht="15.75" thickBot="1" x14ac:dyDescent="0.3">
      <c r="B20" s="140" t="s">
        <v>61</v>
      </c>
      <c r="C20" s="141"/>
      <c r="D20" s="141"/>
      <c r="E20" s="141"/>
      <c r="F20" s="35">
        <f>D15</f>
        <v>26.602500000000003</v>
      </c>
      <c r="G20" s="35">
        <f>E15</f>
        <v>23.577499999999997</v>
      </c>
      <c r="H20" s="35">
        <f>F15</f>
        <v>104.4</v>
      </c>
      <c r="I20" s="35">
        <f>G15</f>
        <v>802.43</v>
      </c>
    </row>
    <row r="22" spans="2:12" ht="35.25" customHeight="1" x14ac:dyDescent="0.25">
      <c r="B22" s="152" t="s">
        <v>109</v>
      </c>
      <c r="C22" s="152"/>
      <c r="D22" s="152"/>
      <c r="E22" s="152"/>
      <c r="F22" s="152"/>
      <c r="G22" s="152"/>
      <c r="H22" s="152"/>
    </row>
    <row r="23" spans="2:12" ht="31.5" customHeight="1" x14ac:dyDescent="0.25">
      <c r="B23" s="67" t="s">
        <v>71</v>
      </c>
      <c r="C23" s="147" t="s">
        <v>72</v>
      </c>
      <c r="D23" s="147"/>
      <c r="E23" s="147"/>
      <c r="F23" s="147"/>
      <c r="G23" s="153" t="s">
        <v>123</v>
      </c>
      <c r="H23" s="154"/>
      <c r="K23" s="12" t="s">
        <v>40</v>
      </c>
      <c r="L23" s="11" t="s">
        <v>50</v>
      </c>
    </row>
    <row r="24" spans="2:12" ht="31.5" x14ac:dyDescent="0.25">
      <c r="B24" s="150"/>
      <c r="C24" s="148" t="s">
        <v>73</v>
      </c>
      <c r="D24" s="149"/>
      <c r="E24" s="148" t="s">
        <v>74</v>
      </c>
      <c r="F24" s="149"/>
      <c r="G24" s="67" t="s">
        <v>73</v>
      </c>
      <c r="H24" s="67" t="s">
        <v>74</v>
      </c>
      <c r="K24" s="12" t="s">
        <v>42</v>
      </c>
      <c r="L24" s="11" t="s">
        <v>70</v>
      </c>
    </row>
    <row r="25" spans="2:12" ht="30" x14ac:dyDescent="0.25">
      <c r="B25" s="151"/>
      <c r="C25" s="148" t="s">
        <v>47</v>
      </c>
      <c r="D25" s="149"/>
      <c r="E25" s="148" t="s">
        <v>47</v>
      </c>
      <c r="F25" s="149"/>
      <c r="G25" s="67" t="s">
        <v>47</v>
      </c>
      <c r="H25" s="67" t="s">
        <v>47</v>
      </c>
      <c r="K25" s="12" t="s">
        <v>44</v>
      </c>
      <c r="L25" s="11" t="s">
        <v>45</v>
      </c>
    </row>
    <row r="26" spans="2:12" ht="63" x14ac:dyDescent="0.25">
      <c r="B26" s="68" t="s">
        <v>75</v>
      </c>
      <c r="C26" s="155">
        <v>80</v>
      </c>
      <c r="D26" s="156"/>
      <c r="E26" s="155">
        <v>80</v>
      </c>
      <c r="F26" s="156"/>
      <c r="G26" s="69">
        <v>40</v>
      </c>
      <c r="H26" s="69">
        <v>40</v>
      </c>
      <c r="K26" s="12" t="s">
        <v>46</v>
      </c>
      <c r="L26" s="11" t="s">
        <v>47</v>
      </c>
    </row>
    <row r="27" spans="2:12" x14ac:dyDescent="0.25">
      <c r="B27" s="68" t="s">
        <v>76</v>
      </c>
      <c r="C27" s="155">
        <v>150</v>
      </c>
      <c r="D27" s="156"/>
      <c r="E27" s="155">
        <v>150</v>
      </c>
      <c r="F27" s="156"/>
      <c r="G27" s="69">
        <v>40</v>
      </c>
      <c r="H27" s="69">
        <v>40</v>
      </c>
    </row>
    <row r="28" spans="2:12" x14ac:dyDescent="0.25">
      <c r="B28" s="68" t="s">
        <v>77</v>
      </c>
      <c r="C28" s="155">
        <v>15</v>
      </c>
      <c r="D28" s="156"/>
      <c r="E28" s="155">
        <v>15</v>
      </c>
      <c r="F28" s="156"/>
      <c r="G28" s="69">
        <v>9.6</v>
      </c>
      <c r="H28" s="69">
        <v>9.6</v>
      </c>
    </row>
    <row r="29" spans="2:12" x14ac:dyDescent="0.25">
      <c r="B29" s="70" t="s">
        <v>78</v>
      </c>
      <c r="C29" s="157">
        <v>45</v>
      </c>
      <c r="D29" s="158"/>
      <c r="E29" s="157">
        <v>45</v>
      </c>
      <c r="F29" s="158"/>
      <c r="G29" s="71">
        <f>10+23</f>
        <v>33</v>
      </c>
      <c r="H29" s="71">
        <v>33</v>
      </c>
    </row>
    <row r="30" spans="2:12" x14ac:dyDescent="0.25">
      <c r="B30" s="68" t="s">
        <v>79</v>
      </c>
      <c r="C30" s="155">
        <v>15</v>
      </c>
      <c r="D30" s="156"/>
      <c r="E30" s="155">
        <v>15</v>
      </c>
      <c r="F30" s="156"/>
      <c r="G30" s="69"/>
      <c r="H30" s="69"/>
    </row>
    <row r="31" spans="2:12" x14ac:dyDescent="0.25">
      <c r="B31" s="68" t="s">
        <v>80</v>
      </c>
      <c r="C31" s="155" t="s">
        <v>81</v>
      </c>
      <c r="D31" s="156"/>
      <c r="E31" s="159">
        <v>188</v>
      </c>
      <c r="F31" s="160"/>
      <c r="G31" s="69">
        <v>33.25</v>
      </c>
      <c r="H31" s="69">
        <v>25</v>
      </c>
    </row>
    <row r="32" spans="2:12" x14ac:dyDescent="0.25">
      <c r="B32" s="68" t="s">
        <v>82</v>
      </c>
      <c r="C32" s="155">
        <v>350</v>
      </c>
      <c r="D32" s="156"/>
      <c r="E32" s="155" t="s">
        <v>83</v>
      </c>
      <c r="F32" s="156"/>
      <c r="G32" s="69">
        <f>85.6+37.5+12.5+12+142+3+5+6</f>
        <v>303.60000000000002</v>
      </c>
      <c r="H32" s="87">
        <f>67+30+10+10+114+2.5+4+6</f>
        <v>243.5</v>
      </c>
    </row>
    <row r="33" spans="2:8" x14ac:dyDescent="0.25">
      <c r="B33" s="68" t="s">
        <v>84</v>
      </c>
      <c r="C33" s="155">
        <v>200</v>
      </c>
      <c r="D33" s="156"/>
      <c r="E33" s="155" t="s">
        <v>85</v>
      </c>
      <c r="F33" s="156"/>
      <c r="G33" s="69"/>
      <c r="H33" s="69"/>
    </row>
    <row r="34" spans="2:8" x14ac:dyDescent="0.25">
      <c r="B34" s="68" t="s">
        <v>86</v>
      </c>
      <c r="C34" s="155">
        <v>15</v>
      </c>
      <c r="D34" s="156"/>
      <c r="E34" s="155">
        <v>15</v>
      </c>
      <c r="F34" s="156"/>
      <c r="G34" s="69"/>
      <c r="H34" s="69"/>
    </row>
    <row r="35" spans="2:8" ht="25.5" x14ac:dyDescent="0.25">
      <c r="B35" s="68" t="s">
        <v>87</v>
      </c>
      <c r="C35" s="155">
        <v>200</v>
      </c>
      <c r="D35" s="156"/>
      <c r="E35" s="155">
        <v>200</v>
      </c>
      <c r="F35" s="156"/>
      <c r="G35" s="69">
        <v>200</v>
      </c>
      <c r="H35" s="69">
        <v>200</v>
      </c>
    </row>
    <row r="36" spans="2:8" x14ac:dyDescent="0.25">
      <c r="B36" s="68" t="s">
        <v>88</v>
      </c>
      <c r="C36" s="155" t="s">
        <v>89</v>
      </c>
      <c r="D36" s="156"/>
      <c r="E36" s="155">
        <v>70</v>
      </c>
      <c r="F36" s="156"/>
      <c r="G36" s="69">
        <v>40</v>
      </c>
      <c r="H36" s="69">
        <v>25</v>
      </c>
    </row>
    <row r="37" spans="2:8" ht="25.5" x14ac:dyDescent="0.25">
      <c r="B37" s="68" t="s">
        <v>90</v>
      </c>
      <c r="C37" s="155" t="s">
        <v>91</v>
      </c>
      <c r="D37" s="156"/>
      <c r="E37" s="155">
        <v>35</v>
      </c>
      <c r="F37" s="156"/>
      <c r="G37" s="69"/>
      <c r="H37" s="69"/>
    </row>
    <row r="38" spans="2:8" x14ac:dyDescent="0.25">
      <c r="B38" s="68" t="s">
        <v>92</v>
      </c>
      <c r="C38" s="155">
        <v>60</v>
      </c>
      <c r="D38" s="156"/>
      <c r="E38" s="155">
        <v>58</v>
      </c>
      <c r="F38" s="156"/>
      <c r="G38" s="69">
        <v>90</v>
      </c>
      <c r="H38" s="69">
        <v>66</v>
      </c>
    </row>
    <row r="39" spans="2:8" x14ac:dyDescent="0.25">
      <c r="B39" s="68" t="s">
        <v>93</v>
      </c>
      <c r="C39" s="155">
        <v>15</v>
      </c>
      <c r="D39" s="156"/>
      <c r="E39" s="155">
        <v>14.7</v>
      </c>
      <c r="F39" s="156"/>
      <c r="G39" s="69"/>
      <c r="H39" s="69"/>
    </row>
    <row r="40" spans="2:8" x14ac:dyDescent="0.25">
      <c r="B40" s="68" t="s">
        <v>94</v>
      </c>
      <c r="C40" s="155">
        <v>300</v>
      </c>
      <c r="D40" s="156"/>
      <c r="E40" s="155">
        <v>300</v>
      </c>
      <c r="F40" s="156"/>
      <c r="G40" s="69"/>
      <c r="H40" s="69"/>
    </row>
    <row r="41" spans="2:8" ht="25.5" x14ac:dyDescent="0.25">
      <c r="B41" s="68" t="s">
        <v>95</v>
      </c>
      <c r="C41" s="155">
        <v>150</v>
      </c>
      <c r="D41" s="156"/>
      <c r="E41" s="155">
        <v>150</v>
      </c>
      <c r="F41" s="156"/>
      <c r="G41" s="69"/>
      <c r="H41" s="69"/>
    </row>
    <row r="42" spans="2:8" x14ac:dyDescent="0.25">
      <c r="B42" s="68" t="s">
        <v>96</v>
      </c>
      <c r="C42" s="155">
        <v>50</v>
      </c>
      <c r="D42" s="156"/>
      <c r="E42" s="155">
        <v>50</v>
      </c>
      <c r="F42" s="156"/>
      <c r="G42" s="69"/>
      <c r="H42" s="69"/>
    </row>
    <row r="43" spans="2:8" x14ac:dyDescent="0.25">
      <c r="B43" s="68" t="s">
        <v>97</v>
      </c>
      <c r="C43" s="155">
        <v>10</v>
      </c>
      <c r="D43" s="156"/>
      <c r="E43" s="155">
        <v>9.8000000000000007</v>
      </c>
      <c r="F43" s="156"/>
      <c r="G43" s="69"/>
      <c r="H43" s="87"/>
    </row>
    <row r="44" spans="2:8" x14ac:dyDescent="0.25">
      <c r="B44" s="68" t="s">
        <v>98</v>
      </c>
      <c r="C44" s="155">
        <v>10</v>
      </c>
      <c r="D44" s="156"/>
      <c r="E44" s="155">
        <v>10</v>
      </c>
      <c r="F44" s="156"/>
      <c r="G44" s="74">
        <v>22</v>
      </c>
      <c r="H44" s="74">
        <v>22</v>
      </c>
    </row>
    <row r="45" spans="2:8" x14ac:dyDescent="0.25">
      <c r="B45" s="68" t="s">
        <v>99</v>
      </c>
      <c r="C45" s="155">
        <v>30</v>
      </c>
      <c r="D45" s="156"/>
      <c r="E45" s="155">
        <v>30</v>
      </c>
      <c r="F45" s="156"/>
      <c r="G45" s="69">
        <v>10</v>
      </c>
      <c r="H45" s="69">
        <v>10</v>
      </c>
    </row>
    <row r="46" spans="2:8" x14ac:dyDescent="0.25">
      <c r="B46" s="68" t="s">
        <v>100</v>
      </c>
      <c r="C46" s="155">
        <v>15</v>
      </c>
      <c r="D46" s="156"/>
      <c r="E46" s="155">
        <v>15</v>
      </c>
      <c r="F46" s="156"/>
      <c r="G46" s="69">
        <f>6+10+5+2+4</f>
        <v>27</v>
      </c>
      <c r="H46" s="69">
        <v>27</v>
      </c>
    </row>
    <row r="47" spans="2:8" x14ac:dyDescent="0.25">
      <c r="B47" s="68" t="s">
        <v>101</v>
      </c>
      <c r="C47" s="155" t="s">
        <v>102</v>
      </c>
      <c r="D47" s="156"/>
      <c r="E47" s="155">
        <v>40</v>
      </c>
      <c r="F47" s="156"/>
      <c r="G47" s="69"/>
      <c r="H47" s="69"/>
    </row>
    <row r="48" spans="2:8" x14ac:dyDescent="0.25">
      <c r="B48" s="68" t="s">
        <v>103</v>
      </c>
      <c r="C48" s="155">
        <v>40</v>
      </c>
      <c r="D48" s="156"/>
      <c r="E48" s="159">
        <v>40</v>
      </c>
      <c r="F48" s="160"/>
      <c r="G48" s="69">
        <v>10</v>
      </c>
      <c r="H48" s="69">
        <v>10</v>
      </c>
    </row>
    <row r="49" spans="2:8" x14ac:dyDescent="0.25">
      <c r="B49" s="68" t="s">
        <v>104</v>
      </c>
      <c r="C49" s="159">
        <v>10</v>
      </c>
      <c r="D49" s="160"/>
      <c r="E49" s="155">
        <v>10</v>
      </c>
      <c r="F49" s="156"/>
      <c r="G49" s="69"/>
      <c r="H49" s="69"/>
    </row>
    <row r="50" spans="2:8" x14ac:dyDescent="0.25">
      <c r="B50" s="68" t="s">
        <v>105</v>
      </c>
      <c r="C50" s="155">
        <v>0.4</v>
      </c>
      <c r="D50" s="156"/>
      <c r="E50" s="155">
        <v>0.4</v>
      </c>
      <c r="F50" s="156"/>
      <c r="G50" s="69"/>
      <c r="H50" s="69"/>
    </row>
    <row r="51" spans="2:8" x14ac:dyDescent="0.25">
      <c r="B51" s="68" t="s">
        <v>106</v>
      </c>
      <c r="C51" s="155">
        <v>1.2</v>
      </c>
      <c r="D51" s="156"/>
      <c r="E51" s="155">
        <v>1.2</v>
      </c>
      <c r="F51" s="156"/>
      <c r="G51" s="69"/>
      <c r="H51" s="69"/>
    </row>
    <row r="52" spans="2:8" x14ac:dyDescent="0.25">
      <c r="B52" s="68" t="s">
        <v>107</v>
      </c>
      <c r="C52" s="155">
        <v>1</v>
      </c>
      <c r="D52" s="156"/>
      <c r="E52" s="155">
        <v>1</v>
      </c>
      <c r="F52" s="156"/>
      <c r="G52" s="69"/>
      <c r="H52" s="69"/>
    </row>
    <row r="53" spans="2:8" x14ac:dyDescent="0.25">
      <c r="B53" s="68" t="s">
        <v>108</v>
      </c>
      <c r="C53" s="155">
        <v>5</v>
      </c>
      <c r="D53" s="156"/>
      <c r="E53" s="155">
        <v>5</v>
      </c>
      <c r="F53" s="156"/>
      <c r="G53" s="69">
        <v>3</v>
      </c>
      <c r="H53" s="69">
        <v>3</v>
      </c>
    </row>
    <row r="54" spans="2:8" x14ac:dyDescent="0.25">
      <c r="B54" s="17"/>
      <c r="C54" s="17"/>
      <c r="D54" s="17"/>
      <c r="E54" s="17"/>
      <c r="F54" s="17"/>
      <c r="G54" s="17"/>
      <c r="H54" s="17"/>
    </row>
  </sheetData>
  <sheetProtection formatCells="0" formatColumns="0" formatRows="0" insertColumns="0" insertRows="0" insertHyperlinks="0" deleteColumns="0" deleteRows="0" sort="0" autoFilter="0" pivotTables="0"/>
  <mergeCells count="76">
    <mergeCell ref="E30:F30"/>
    <mergeCell ref="E29:F29"/>
    <mergeCell ref="E28:F28"/>
    <mergeCell ref="E27:F27"/>
    <mergeCell ref="E26:F26"/>
    <mergeCell ref="E35:F35"/>
    <mergeCell ref="E34:F34"/>
    <mergeCell ref="E33:F33"/>
    <mergeCell ref="E32:F32"/>
    <mergeCell ref="E31:F31"/>
    <mergeCell ref="E40:F40"/>
    <mergeCell ref="E39:F39"/>
    <mergeCell ref="E38:F38"/>
    <mergeCell ref="E37:F37"/>
    <mergeCell ref="E36:F36"/>
    <mergeCell ref="E45:F45"/>
    <mergeCell ref="E44:F44"/>
    <mergeCell ref="E43:F43"/>
    <mergeCell ref="E42:F42"/>
    <mergeCell ref="E41:F41"/>
    <mergeCell ref="E50:F50"/>
    <mergeCell ref="E49:F49"/>
    <mergeCell ref="E48:F48"/>
    <mergeCell ref="E47:F47"/>
    <mergeCell ref="E46:F46"/>
    <mergeCell ref="C51:D51"/>
    <mergeCell ref="C52:D52"/>
    <mergeCell ref="C53:D53"/>
    <mergeCell ref="E53:F53"/>
    <mergeCell ref="E52:F52"/>
    <mergeCell ref="E51:F51"/>
    <mergeCell ref="C46:D46"/>
    <mergeCell ref="C47:D47"/>
    <mergeCell ref="C48:D48"/>
    <mergeCell ref="C50:D50"/>
    <mergeCell ref="C49:D49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5:D35"/>
    <mergeCell ref="C34:D34"/>
    <mergeCell ref="C26:D26"/>
    <mergeCell ref="C27:D27"/>
    <mergeCell ref="C28:D28"/>
    <mergeCell ref="C29:D29"/>
    <mergeCell ref="C30:D30"/>
    <mergeCell ref="B22:H22"/>
    <mergeCell ref="C23:F23"/>
    <mergeCell ref="B24:B25"/>
    <mergeCell ref="C24:D24"/>
    <mergeCell ref="E24:F24"/>
    <mergeCell ref="G23:H23"/>
    <mergeCell ref="E25:F25"/>
    <mergeCell ref="C25:D25"/>
    <mergeCell ref="B17:E18"/>
    <mergeCell ref="F17:H17"/>
    <mergeCell ref="B19:E19"/>
    <mergeCell ref="B20:E20"/>
    <mergeCell ref="A7:O7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4" fitToWidth="2" fitToHeight="2" orientation="landscape" r:id="rId1"/>
  <rowBreaks count="1" manualBreakCount="1">
    <brk id="21" max="1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AA60"/>
  <sheetViews>
    <sheetView view="pageBreakPreview" topLeftCell="A22" zoomScale="80" zoomScaleNormal="100" zoomScaleSheetLayoutView="80" workbookViewId="0">
      <selection activeCell="K50" sqref="K50"/>
    </sheetView>
  </sheetViews>
  <sheetFormatPr defaultRowHeight="15" x14ac:dyDescent="0.25"/>
  <cols>
    <col min="2" max="2" width="37.140625" bestFit="1" customWidth="1"/>
    <col min="6" max="6" width="10.28515625" customWidth="1"/>
    <col min="7" max="7" width="20.42578125" customWidth="1"/>
    <col min="8" max="8" width="11.42578125" customWidth="1"/>
    <col min="9" max="9" width="12.140625" customWidth="1"/>
    <col min="10" max="10" width="14.28515625" customWidth="1"/>
    <col min="12" max="13" width="10" bestFit="1" customWidth="1"/>
  </cols>
  <sheetData>
    <row r="1" spans="1:27" ht="15.75" x14ac:dyDescent="0.25">
      <c r="A1" s="12" t="s">
        <v>40</v>
      </c>
      <c r="B1" s="11" t="s">
        <v>52</v>
      </c>
    </row>
    <row r="2" spans="1:27" ht="22.5" customHeight="1" x14ac:dyDescent="0.25">
      <c r="A2" s="12" t="s">
        <v>42</v>
      </c>
      <c r="B2" s="11" t="s">
        <v>70</v>
      </c>
    </row>
    <row r="3" spans="1:27" ht="15.75" x14ac:dyDescent="0.25">
      <c r="A3" s="12" t="s">
        <v>44</v>
      </c>
      <c r="B3" s="11" t="s">
        <v>45</v>
      </c>
    </row>
    <row r="4" spans="1:27" ht="47.25" customHeight="1" x14ac:dyDescent="0.25">
      <c r="A4" s="12" t="s">
        <v>46</v>
      </c>
      <c r="B4" s="11" t="s">
        <v>47</v>
      </c>
    </row>
    <row r="5" spans="1:27" ht="15.75" x14ac:dyDescent="0.25">
      <c r="A5" s="216" t="s">
        <v>29</v>
      </c>
      <c r="B5" s="216" t="s">
        <v>19</v>
      </c>
      <c r="C5" s="216" t="s">
        <v>21</v>
      </c>
      <c r="D5" s="213" t="s">
        <v>32</v>
      </c>
      <c r="E5" s="214"/>
      <c r="F5" s="215"/>
      <c r="G5" s="216" t="s">
        <v>0</v>
      </c>
      <c r="H5" s="213" t="s">
        <v>31</v>
      </c>
      <c r="I5" s="214"/>
      <c r="J5" s="214"/>
      <c r="K5" s="215"/>
      <c r="L5" s="213" t="s">
        <v>30</v>
      </c>
      <c r="M5" s="214"/>
      <c r="N5" s="214"/>
      <c r="O5" s="215"/>
    </row>
    <row r="6" spans="1:27" ht="15.75" x14ac:dyDescent="0.25">
      <c r="A6" s="217"/>
      <c r="B6" s="218"/>
      <c r="C6" s="219"/>
      <c r="D6" s="8" t="s">
        <v>1</v>
      </c>
      <c r="E6" s="8" t="s">
        <v>2</v>
      </c>
      <c r="F6" s="8" t="s">
        <v>3</v>
      </c>
      <c r="G6" s="217"/>
      <c r="H6" s="8" t="s">
        <v>18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</row>
    <row r="7" spans="1:27" s="27" customFormat="1" ht="18.75" x14ac:dyDescent="0.2">
      <c r="A7" s="220" t="s">
        <v>20</v>
      </c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49"/>
    </row>
    <row r="8" spans="1:27" s="13" customFormat="1" ht="25.5" x14ac:dyDescent="0.25">
      <c r="A8" s="86">
        <v>67</v>
      </c>
      <c r="B8" s="9" t="s">
        <v>112</v>
      </c>
      <c r="C8" s="86">
        <v>100</v>
      </c>
      <c r="D8" s="15">
        <v>1.4</v>
      </c>
      <c r="E8" s="15">
        <v>10.039999999999999</v>
      </c>
      <c r="F8" s="15">
        <v>7.29</v>
      </c>
      <c r="G8" s="15">
        <f>125.1</f>
        <v>125.1</v>
      </c>
      <c r="H8" s="15">
        <f>0.44/10</f>
        <v>4.3999999999999997E-2</v>
      </c>
      <c r="I8" s="15">
        <v>9.6300000000000008</v>
      </c>
      <c r="J8" s="15"/>
      <c r="K8" s="15">
        <v>4.5</v>
      </c>
      <c r="L8" s="15">
        <v>31.23</v>
      </c>
      <c r="M8" s="15">
        <v>43.27</v>
      </c>
      <c r="N8" s="15">
        <v>19.53</v>
      </c>
      <c r="O8" s="15">
        <v>0.83</v>
      </c>
    </row>
    <row r="9" spans="1:27" s="27" customFormat="1" ht="25.5" customHeight="1" x14ac:dyDescent="0.2">
      <c r="A9" s="14">
        <v>112</v>
      </c>
      <c r="B9" s="9" t="s">
        <v>117</v>
      </c>
      <c r="C9" s="14">
        <v>250</v>
      </c>
      <c r="D9" s="15">
        <f>10.27/4+0.8</f>
        <v>3.3674999999999997</v>
      </c>
      <c r="E9" s="15">
        <f>11.12/4+0.2</f>
        <v>2.98</v>
      </c>
      <c r="F9" s="15">
        <f>62.75/4</f>
        <v>15.6875</v>
      </c>
      <c r="G9" s="15">
        <f>436/4+5+30</f>
        <v>144</v>
      </c>
      <c r="H9" s="15">
        <f>0.37/4</f>
        <v>9.2499999999999999E-2</v>
      </c>
      <c r="I9" s="15">
        <f>24.3/4</f>
        <v>6.0750000000000002</v>
      </c>
      <c r="J9" s="15"/>
      <c r="K9" s="15">
        <f>5.8/4</f>
        <v>1.45</v>
      </c>
      <c r="L9" s="15">
        <f>118/4+2</f>
        <v>31.5</v>
      </c>
      <c r="M9" s="15">
        <f>230.9/4</f>
        <v>57.725000000000001</v>
      </c>
      <c r="N9" s="15">
        <f>95.2/4</f>
        <v>23.8</v>
      </c>
      <c r="O9" s="15">
        <f>4/4</f>
        <v>1</v>
      </c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</row>
    <row r="10" spans="1:27" s="13" customFormat="1" x14ac:dyDescent="0.25">
      <c r="A10" s="14">
        <v>288</v>
      </c>
      <c r="B10" s="9" t="s">
        <v>118</v>
      </c>
      <c r="C10" s="14">
        <v>110</v>
      </c>
      <c r="D10" s="15">
        <f>11.73*2</f>
        <v>23.46</v>
      </c>
      <c r="E10" s="15">
        <f>12.91*2</f>
        <v>25.82</v>
      </c>
      <c r="F10" s="15">
        <f>0.25*2</f>
        <v>0.5</v>
      </c>
      <c r="G10" s="15">
        <f>164*2</f>
        <v>328</v>
      </c>
      <c r="H10" s="15">
        <f>0.02*2</f>
        <v>0.04</v>
      </c>
      <c r="I10" s="15">
        <f>11.75*2</f>
        <v>23.5</v>
      </c>
      <c r="J10" s="15">
        <f>48.1*2</f>
        <v>96.2</v>
      </c>
      <c r="K10" s="15">
        <f>0.21*2</f>
        <v>0.42</v>
      </c>
      <c r="L10" s="15">
        <f>28*2</f>
        <v>56</v>
      </c>
      <c r="M10" s="15">
        <f>83.55*2</f>
        <v>167.1</v>
      </c>
      <c r="N10" s="15">
        <f>10.14*2</f>
        <v>20.28</v>
      </c>
      <c r="O10" s="15">
        <f>0.91*2</f>
        <v>1.82</v>
      </c>
    </row>
    <row r="11" spans="1:27" s="13" customFormat="1" x14ac:dyDescent="0.25">
      <c r="A11" s="14">
        <v>312</v>
      </c>
      <c r="B11" s="9" t="s">
        <v>13</v>
      </c>
      <c r="C11" s="14">
        <v>150</v>
      </c>
      <c r="D11" s="15">
        <f>20.473/100*15</f>
        <v>3.0709499999999998</v>
      </c>
      <c r="E11" s="15">
        <f>32.01/100/15</f>
        <v>2.1340000000000001E-2</v>
      </c>
      <c r="F11" s="15">
        <f>136.26/100*15</f>
        <v>20.438999999999997</v>
      </c>
      <c r="G11" s="15">
        <f>915/100*15</f>
        <v>137.25</v>
      </c>
      <c r="H11" s="15">
        <f>0.93/100*15</f>
        <v>0.13950000000000001</v>
      </c>
      <c r="I11" s="15">
        <f>121.07/100*15</f>
        <v>18.160499999999999</v>
      </c>
      <c r="J11" s="15"/>
      <c r="K11" s="15">
        <f>1.21/100*15</f>
        <v>0.18149999999999999</v>
      </c>
      <c r="L11" s="15">
        <f>246.5/100*15</f>
        <v>36.974999999999994</v>
      </c>
      <c r="M11" s="15">
        <f>577.3/100*15</f>
        <v>86.594999999999999</v>
      </c>
      <c r="N11" s="15">
        <f>185/100*15</f>
        <v>27.75</v>
      </c>
      <c r="O11" s="15">
        <f>6.73/100*15</f>
        <v>1.0095000000000001</v>
      </c>
    </row>
    <row r="12" spans="1:27" s="13" customFormat="1" x14ac:dyDescent="0.25">
      <c r="A12" s="106">
        <v>388</v>
      </c>
      <c r="B12" s="9" t="s">
        <v>51</v>
      </c>
      <c r="C12" s="106">
        <v>200</v>
      </c>
      <c r="D12" s="15">
        <f>3.39/5</f>
        <v>0.67800000000000005</v>
      </c>
      <c r="E12" s="15">
        <f>1.39/5</f>
        <v>0.27799999999999997</v>
      </c>
      <c r="F12" s="15">
        <f>103.8/5</f>
        <v>20.759999999999998</v>
      </c>
      <c r="G12" s="15">
        <f>441/5</f>
        <v>88.2</v>
      </c>
      <c r="H12" s="15">
        <f>0.06/5</f>
        <v>1.2E-2</v>
      </c>
      <c r="I12" s="15">
        <f>500/5</f>
        <v>100</v>
      </c>
      <c r="J12" s="15"/>
      <c r="K12" s="15">
        <f>3.8/5</f>
        <v>0.76</v>
      </c>
      <c r="L12" s="15">
        <f>106.7/5</f>
        <v>21.34</v>
      </c>
      <c r="M12" s="15">
        <f>17.2/5</f>
        <v>3.44</v>
      </c>
      <c r="N12" s="15">
        <f>17.2/5</f>
        <v>3.44</v>
      </c>
      <c r="O12" s="15">
        <f>3.17/5</f>
        <v>0.63400000000000001</v>
      </c>
    </row>
    <row r="13" spans="1:27" s="13" customFormat="1" x14ac:dyDescent="0.25">
      <c r="A13" s="42"/>
      <c r="B13" s="9" t="s">
        <v>14</v>
      </c>
      <c r="C13" s="14">
        <v>40</v>
      </c>
      <c r="D13" s="15">
        <v>2.2400000000000002</v>
      </c>
      <c r="E13" s="15">
        <v>0.88</v>
      </c>
      <c r="F13" s="15">
        <v>19.760000000000002</v>
      </c>
      <c r="G13" s="15">
        <v>91.96</v>
      </c>
      <c r="H13" s="15">
        <v>0.04</v>
      </c>
      <c r="I13" s="15"/>
      <c r="J13" s="15"/>
      <c r="K13" s="15">
        <v>0.36</v>
      </c>
      <c r="L13" s="15">
        <v>9.1999999999999993</v>
      </c>
      <c r="M13" s="15">
        <v>42.4</v>
      </c>
      <c r="N13" s="15">
        <v>10</v>
      </c>
      <c r="O13" s="15">
        <v>1.24</v>
      </c>
    </row>
    <row r="14" spans="1:27" s="13" customFormat="1" x14ac:dyDescent="0.25">
      <c r="A14" s="42"/>
      <c r="B14" s="9" t="s">
        <v>76</v>
      </c>
      <c r="C14" s="92">
        <v>40</v>
      </c>
      <c r="D14" s="15">
        <v>3.16</v>
      </c>
      <c r="E14" s="15">
        <v>0.4</v>
      </c>
      <c r="F14" s="15">
        <v>19.32</v>
      </c>
      <c r="G14" s="15">
        <v>93.52</v>
      </c>
      <c r="H14" s="15">
        <v>0.04</v>
      </c>
      <c r="I14" s="15"/>
      <c r="J14" s="15"/>
      <c r="K14" s="15">
        <v>0.52</v>
      </c>
      <c r="L14" s="15">
        <v>9.1999999999999993</v>
      </c>
      <c r="M14" s="15">
        <v>34.799999999999997</v>
      </c>
      <c r="N14" s="15">
        <v>13.2</v>
      </c>
      <c r="O14" s="15">
        <v>0.44</v>
      </c>
    </row>
    <row r="15" spans="1:27" s="27" customFormat="1" ht="16.149999999999999" customHeight="1" x14ac:dyDescent="0.2">
      <c r="A15" s="93" t="s">
        <v>11</v>
      </c>
      <c r="B15" s="94"/>
      <c r="C15" s="94"/>
      <c r="D15" s="102">
        <f t="shared" ref="D15:F15" si="0">SUM(D8:D14)</f>
        <v>37.376450000000006</v>
      </c>
      <c r="E15" s="102">
        <f t="shared" si="0"/>
        <v>40.419340000000005</v>
      </c>
      <c r="F15" s="102">
        <f t="shared" si="0"/>
        <v>103.75650000000002</v>
      </c>
      <c r="G15" s="102">
        <f>SUM(G8:G14)</f>
        <v>1008.0300000000001</v>
      </c>
      <c r="H15" s="102"/>
      <c r="I15" s="102"/>
      <c r="J15" s="102"/>
      <c r="K15" s="102"/>
      <c r="L15" s="102"/>
      <c r="M15" s="102"/>
      <c r="N15" s="102"/>
      <c r="O15" s="102"/>
    </row>
    <row r="16" spans="1:27" ht="15.75" thickBot="1" x14ac:dyDescent="0.3">
      <c r="G16" s="43"/>
    </row>
    <row r="17" spans="2:11" ht="26.25" thickBot="1" x14ac:dyDescent="0.3">
      <c r="B17" s="133" t="s">
        <v>58</v>
      </c>
      <c r="C17" s="134"/>
      <c r="D17" s="134"/>
      <c r="E17" s="134"/>
      <c r="F17" s="137" t="s">
        <v>59</v>
      </c>
      <c r="G17" s="138"/>
      <c r="H17" s="139"/>
      <c r="I17" s="32" t="s">
        <v>60</v>
      </c>
    </row>
    <row r="18" spans="2:11" ht="15.75" thickBot="1" x14ac:dyDescent="0.3">
      <c r="B18" s="135"/>
      <c r="C18" s="136"/>
      <c r="D18" s="136"/>
      <c r="E18" s="136"/>
      <c r="F18" s="33" t="s">
        <v>1</v>
      </c>
      <c r="G18" s="33" t="s">
        <v>2</v>
      </c>
      <c r="H18" s="33" t="s">
        <v>3</v>
      </c>
      <c r="I18" s="34"/>
    </row>
    <row r="19" spans="2:11" ht="15.75" thickBot="1" x14ac:dyDescent="0.3">
      <c r="B19" s="140" t="s">
        <v>62</v>
      </c>
      <c r="C19" s="141"/>
      <c r="D19" s="141"/>
      <c r="E19" s="141"/>
      <c r="F19" s="33" t="s">
        <v>63</v>
      </c>
      <c r="G19" s="33" t="s">
        <v>64</v>
      </c>
      <c r="H19" s="33" t="s">
        <v>65</v>
      </c>
      <c r="I19" s="33" t="s">
        <v>66</v>
      </c>
    </row>
    <row r="20" spans="2:11" ht="15.75" thickBot="1" x14ac:dyDescent="0.3">
      <c r="B20" s="140" t="s">
        <v>61</v>
      </c>
      <c r="C20" s="141"/>
      <c r="D20" s="141"/>
      <c r="E20" s="141"/>
      <c r="F20" s="35">
        <f>D15</f>
        <v>37.376450000000006</v>
      </c>
      <c r="G20" s="35">
        <f>E15</f>
        <v>40.419340000000005</v>
      </c>
      <c r="H20" s="35">
        <f>F15</f>
        <v>103.75650000000002</v>
      </c>
      <c r="I20" s="35">
        <f>G15</f>
        <v>1008.0300000000001</v>
      </c>
    </row>
    <row r="22" spans="2:11" ht="41.25" customHeight="1" x14ac:dyDescent="0.25">
      <c r="B22" s="152" t="s">
        <v>109</v>
      </c>
      <c r="C22" s="152"/>
      <c r="D22" s="152"/>
      <c r="E22" s="152"/>
      <c r="F22" s="152"/>
      <c r="G22" s="152"/>
      <c r="H22" s="152"/>
    </row>
    <row r="23" spans="2:11" ht="33.75" customHeight="1" x14ac:dyDescent="0.25">
      <c r="B23" s="67" t="s">
        <v>71</v>
      </c>
      <c r="C23" s="147" t="s">
        <v>72</v>
      </c>
      <c r="D23" s="147"/>
      <c r="E23" s="147"/>
      <c r="F23" s="147"/>
      <c r="G23" s="153" t="s">
        <v>123</v>
      </c>
      <c r="H23" s="154"/>
      <c r="J23" s="12" t="s">
        <v>40</v>
      </c>
      <c r="K23" s="11" t="s">
        <v>52</v>
      </c>
    </row>
    <row r="24" spans="2:11" ht="15.75" x14ac:dyDescent="0.25">
      <c r="B24" s="150"/>
      <c r="C24" s="148" t="s">
        <v>73</v>
      </c>
      <c r="D24" s="149"/>
      <c r="E24" s="148" t="s">
        <v>74</v>
      </c>
      <c r="F24" s="149"/>
      <c r="G24" s="67" t="s">
        <v>73</v>
      </c>
      <c r="H24" s="67" t="s">
        <v>74</v>
      </c>
      <c r="J24" s="12" t="s">
        <v>42</v>
      </c>
      <c r="K24" s="11" t="s">
        <v>70</v>
      </c>
    </row>
    <row r="25" spans="2:11" ht="30" x14ac:dyDescent="0.25">
      <c r="B25" s="151"/>
      <c r="C25" s="148" t="s">
        <v>47</v>
      </c>
      <c r="D25" s="149"/>
      <c r="E25" s="148" t="s">
        <v>47</v>
      </c>
      <c r="F25" s="149"/>
      <c r="G25" s="67" t="s">
        <v>47</v>
      </c>
      <c r="H25" s="67" t="s">
        <v>47</v>
      </c>
      <c r="J25" s="12" t="s">
        <v>44</v>
      </c>
      <c r="K25" s="11" t="s">
        <v>45</v>
      </c>
    </row>
    <row r="26" spans="2:11" ht="51.75" customHeight="1" x14ac:dyDescent="0.25">
      <c r="B26" s="68" t="s">
        <v>75</v>
      </c>
      <c r="C26" s="155">
        <v>80</v>
      </c>
      <c r="D26" s="156"/>
      <c r="E26" s="155">
        <v>80</v>
      </c>
      <c r="F26" s="156"/>
      <c r="G26" s="69">
        <v>40</v>
      </c>
      <c r="H26" s="69">
        <v>40</v>
      </c>
      <c r="J26" s="12" t="s">
        <v>46</v>
      </c>
      <c r="K26" s="11" t="s">
        <v>47</v>
      </c>
    </row>
    <row r="27" spans="2:11" x14ac:dyDescent="0.25">
      <c r="B27" s="68" t="s">
        <v>76</v>
      </c>
      <c r="C27" s="155">
        <v>150</v>
      </c>
      <c r="D27" s="156"/>
      <c r="E27" s="155">
        <v>150</v>
      </c>
      <c r="F27" s="156"/>
      <c r="G27" s="69">
        <v>40</v>
      </c>
      <c r="H27" s="69">
        <v>40</v>
      </c>
    </row>
    <row r="28" spans="2:11" ht="36.75" customHeight="1" x14ac:dyDescent="0.25">
      <c r="B28" s="68" t="s">
        <v>77</v>
      </c>
      <c r="C28" s="155">
        <v>15</v>
      </c>
      <c r="D28" s="156"/>
      <c r="E28" s="155">
        <v>15</v>
      </c>
      <c r="F28" s="156"/>
      <c r="G28" s="69">
        <v>5</v>
      </c>
      <c r="H28" s="69">
        <v>5</v>
      </c>
    </row>
    <row r="29" spans="2:11" ht="21.75" customHeight="1" x14ac:dyDescent="0.25">
      <c r="B29" s="70" t="s">
        <v>78</v>
      </c>
      <c r="C29" s="157">
        <v>45</v>
      </c>
      <c r="D29" s="158"/>
      <c r="E29" s="157">
        <v>45</v>
      </c>
      <c r="F29" s="158"/>
      <c r="G29" s="71">
        <v>31</v>
      </c>
      <c r="H29" s="71">
        <v>31</v>
      </c>
    </row>
    <row r="30" spans="2:11" x14ac:dyDescent="0.25">
      <c r="B30" s="68" t="s">
        <v>79</v>
      </c>
      <c r="C30" s="155">
        <v>15</v>
      </c>
      <c r="D30" s="156"/>
      <c r="E30" s="155">
        <v>15</v>
      </c>
      <c r="F30" s="156"/>
      <c r="G30" s="69">
        <v>10</v>
      </c>
      <c r="H30" s="69">
        <v>10</v>
      </c>
    </row>
    <row r="31" spans="2:11" x14ac:dyDescent="0.25">
      <c r="B31" s="68" t="s">
        <v>80</v>
      </c>
      <c r="C31" s="155" t="s">
        <v>81</v>
      </c>
      <c r="D31" s="156"/>
      <c r="E31" s="159">
        <v>188</v>
      </c>
      <c r="F31" s="160"/>
      <c r="G31" s="69">
        <f>28.9+53.4+171</f>
        <v>253.3</v>
      </c>
      <c r="H31" s="69">
        <f>21+40+129</f>
        <v>190</v>
      </c>
    </row>
    <row r="32" spans="2:11" x14ac:dyDescent="0.25">
      <c r="B32" s="68" t="s">
        <v>82</v>
      </c>
      <c r="C32" s="155">
        <v>350</v>
      </c>
      <c r="D32" s="156"/>
      <c r="E32" s="155" t="s">
        <v>83</v>
      </c>
      <c r="F32" s="156"/>
      <c r="G32" s="69">
        <f>19.1+12.6+18.8+21.4+18.8+10+9.6+2+5+3</f>
        <v>120.3</v>
      </c>
      <c r="H32" s="87">
        <f>15+10+7.5+15+15+8+8+4+4+2</f>
        <v>88.5</v>
      </c>
    </row>
    <row r="33" spans="2:8" x14ac:dyDescent="0.25">
      <c r="B33" s="68" t="s">
        <v>84</v>
      </c>
      <c r="C33" s="155">
        <v>200</v>
      </c>
      <c r="D33" s="156"/>
      <c r="E33" s="155" t="s">
        <v>85</v>
      </c>
      <c r="F33" s="156"/>
      <c r="G33" s="69"/>
      <c r="H33" s="69"/>
    </row>
    <row r="34" spans="2:8" x14ac:dyDescent="0.25">
      <c r="B34" s="68" t="s">
        <v>86</v>
      </c>
      <c r="C34" s="155">
        <v>15</v>
      </c>
      <c r="D34" s="156"/>
      <c r="E34" s="155">
        <v>15</v>
      </c>
      <c r="F34" s="156"/>
      <c r="G34" s="69">
        <v>20.100000000000001</v>
      </c>
      <c r="H34" s="69">
        <v>20.100000000000001</v>
      </c>
    </row>
    <row r="35" spans="2:8" ht="25.5" x14ac:dyDescent="0.25">
      <c r="B35" s="68" t="s">
        <v>87</v>
      </c>
      <c r="C35" s="155">
        <v>200</v>
      </c>
      <c r="D35" s="156"/>
      <c r="E35" s="155">
        <v>200</v>
      </c>
      <c r="F35" s="156"/>
      <c r="G35" s="69"/>
      <c r="H35" s="69"/>
    </row>
    <row r="36" spans="2:8" x14ac:dyDescent="0.25">
      <c r="B36" s="68" t="s">
        <v>88</v>
      </c>
      <c r="C36" s="155" t="s">
        <v>89</v>
      </c>
      <c r="D36" s="156"/>
      <c r="E36" s="155">
        <v>70</v>
      </c>
      <c r="F36" s="156"/>
      <c r="G36" s="69"/>
      <c r="H36" s="69"/>
    </row>
    <row r="37" spans="2:8" ht="25.5" x14ac:dyDescent="0.25">
      <c r="B37" s="68" t="s">
        <v>90</v>
      </c>
      <c r="C37" s="155" t="s">
        <v>91</v>
      </c>
      <c r="D37" s="156"/>
      <c r="E37" s="155">
        <v>35</v>
      </c>
      <c r="F37" s="156"/>
      <c r="G37" s="69">
        <f>142+40</f>
        <v>182</v>
      </c>
      <c r="H37" s="69">
        <f>128+25</f>
        <v>153</v>
      </c>
    </row>
    <row r="38" spans="2:8" x14ac:dyDescent="0.25">
      <c r="B38" s="68" t="s">
        <v>92</v>
      </c>
      <c r="C38" s="155">
        <v>60</v>
      </c>
      <c r="D38" s="156"/>
      <c r="E38" s="155">
        <v>58</v>
      </c>
      <c r="F38" s="156"/>
      <c r="G38" s="69"/>
      <c r="H38" s="69"/>
    </row>
    <row r="39" spans="2:8" x14ac:dyDescent="0.25">
      <c r="B39" s="68" t="s">
        <v>93</v>
      </c>
      <c r="C39" s="155">
        <v>15</v>
      </c>
      <c r="D39" s="156"/>
      <c r="E39" s="155">
        <v>14.7</v>
      </c>
      <c r="F39" s="156"/>
      <c r="G39" s="69"/>
      <c r="H39" s="69"/>
    </row>
    <row r="40" spans="2:8" x14ac:dyDescent="0.25">
      <c r="B40" s="68" t="s">
        <v>94</v>
      </c>
      <c r="C40" s="155">
        <v>300</v>
      </c>
      <c r="D40" s="156"/>
      <c r="E40" s="155">
        <v>300</v>
      </c>
      <c r="F40" s="156"/>
      <c r="G40" s="69"/>
      <c r="H40" s="69"/>
    </row>
    <row r="41" spans="2:8" ht="25.5" x14ac:dyDescent="0.25">
      <c r="B41" s="68" t="s">
        <v>95</v>
      </c>
      <c r="C41" s="155">
        <v>150</v>
      </c>
      <c r="D41" s="156"/>
      <c r="E41" s="155">
        <v>150</v>
      </c>
      <c r="F41" s="156"/>
      <c r="G41" s="69"/>
      <c r="H41" s="69"/>
    </row>
    <row r="42" spans="2:8" x14ac:dyDescent="0.25">
      <c r="B42" s="68" t="s">
        <v>96</v>
      </c>
      <c r="C42" s="155">
        <v>50</v>
      </c>
      <c r="D42" s="156"/>
      <c r="E42" s="155">
        <v>50</v>
      </c>
      <c r="F42" s="156"/>
      <c r="G42" s="69"/>
      <c r="H42" s="69"/>
    </row>
    <row r="43" spans="2:8" x14ac:dyDescent="0.25">
      <c r="B43" s="68" t="s">
        <v>97</v>
      </c>
      <c r="C43" s="155">
        <v>10</v>
      </c>
      <c r="D43" s="156"/>
      <c r="E43" s="155">
        <v>9.8000000000000007</v>
      </c>
      <c r="F43" s="156"/>
      <c r="G43" s="69"/>
      <c r="H43" s="87"/>
    </row>
    <row r="44" spans="2:8" x14ac:dyDescent="0.25">
      <c r="B44" s="68" t="s">
        <v>98</v>
      </c>
      <c r="C44" s="155">
        <v>10</v>
      </c>
      <c r="D44" s="156"/>
      <c r="E44" s="155">
        <v>10</v>
      </c>
      <c r="F44" s="156"/>
      <c r="G44" s="74"/>
      <c r="H44" s="74"/>
    </row>
    <row r="45" spans="2:8" x14ac:dyDescent="0.25">
      <c r="B45" s="68" t="s">
        <v>99</v>
      </c>
      <c r="C45" s="155">
        <v>30</v>
      </c>
      <c r="D45" s="156"/>
      <c r="E45" s="155">
        <v>30</v>
      </c>
      <c r="F45" s="156"/>
      <c r="G45" s="69">
        <v>10</v>
      </c>
      <c r="H45" s="69">
        <v>10</v>
      </c>
    </row>
    <row r="46" spans="2:8" x14ac:dyDescent="0.25">
      <c r="B46" s="68" t="s">
        <v>100</v>
      </c>
      <c r="C46" s="155">
        <v>15</v>
      </c>
      <c r="D46" s="156"/>
      <c r="E46" s="155">
        <v>15</v>
      </c>
      <c r="F46" s="156"/>
      <c r="G46" s="69">
        <v>10</v>
      </c>
      <c r="H46" s="69">
        <v>10</v>
      </c>
    </row>
    <row r="47" spans="2:8" x14ac:dyDescent="0.25">
      <c r="B47" s="68" t="s">
        <v>101</v>
      </c>
      <c r="C47" s="155" t="s">
        <v>102</v>
      </c>
      <c r="D47" s="156"/>
      <c r="E47" s="155">
        <v>40</v>
      </c>
      <c r="F47" s="156"/>
      <c r="G47" s="69"/>
      <c r="H47" s="69"/>
    </row>
    <row r="48" spans="2:8" x14ac:dyDescent="0.25">
      <c r="B48" s="68" t="s">
        <v>103</v>
      </c>
      <c r="C48" s="155">
        <v>40</v>
      </c>
      <c r="D48" s="156"/>
      <c r="E48" s="159">
        <v>40</v>
      </c>
      <c r="F48" s="160"/>
      <c r="G48" s="69">
        <v>15</v>
      </c>
      <c r="H48" s="69">
        <v>15</v>
      </c>
    </row>
    <row r="49" spans="2:8" x14ac:dyDescent="0.25">
      <c r="B49" s="68" t="s">
        <v>104</v>
      </c>
      <c r="C49" s="159">
        <v>10</v>
      </c>
      <c r="D49" s="160"/>
      <c r="E49" s="155">
        <v>10</v>
      </c>
      <c r="F49" s="156"/>
      <c r="G49" s="69"/>
      <c r="H49" s="69"/>
    </row>
    <row r="50" spans="2:8" x14ac:dyDescent="0.25">
      <c r="B50" s="68" t="s">
        <v>105</v>
      </c>
      <c r="C50" s="155">
        <v>0.4</v>
      </c>
      <c r="D50" s="156"/>
      <c r="E50" s="155">
        <v>0.4</v>
      </c>
      <c r="F50" s="156"/>
      <c r="G50" s="69"/>
      <c r="H50" s="69"/>
    </row>
    <row r="51" spans="2:8" x14ac:dyDescent="0.25">
      <c r="B51" s="68" t="s">
        <v>106</v>
      </c>
      <c r="C51" s="155">
        <v>1.2</v>
      </c>
      <c r="D51" s="156"/>
      <c r="E51" s="155">
        <v>1.2</v>
      </c>
      <c r="F51" s="156"/>
      <c r="G51" s="69"/>
      <c r="H51" s="69"/>
    </row>
    <row r="52" spans="2:8" x14ac:dyDescent="0.25">
      <c r="B52" s="68" t="s">
        <v>107</v>
      </c>
      <c r="C52" s="155">
        <v>1</v>
      </c>
      <c r="D52" s="156"/>
      <c r="E52" s="155">
        <v>1</v>
      </c>
      <c r="F52" s="156"/>
      <c r="G52" s="69"/>
      <c r="H52" s="69"/>
    </row>
    <row r="53" spans="2:8" x14ac:dyDescent="0.25">
      <c r="B53" s="68" t="s">
        <v>108</v>
      </c>
      <c r="C53" s="155">
        <v>5</v>
      </c>
      <c r="D53" s="156"/>
      <c r="E53" s="155">
        <v>5</v>
      </c>
      <c r="F53" s="156"/>
      <c r="G53" s="69">
        <v>3</v>
      </c>
      <c r="H53" s="69">
        <v>3</v>
      </c>
    </row>
    <row r="54" spans="2:8" x14ac:dyDescent="0.25">
      <c r="B54" s="41"/>
      <c r="C54" s="222"/>
      <c r="D54" s="222"/>
      <c r="E54" s="222"/>
      <c r="F54" s="222"/>
      <c r="G54" s="77"/>
      <c r="H54" s="77"/>
    </row>
    <row r="55" spans="2:8" x14ac:dyDescent="0.25">
      <c r="B55" s="41"/>
      <c r="C55" s="222"/>
      <c r="D55" s="222"/>
      <c r="E55" s="222"/>
      <c r="F55" s="222"/>
      <c r="G55" s="77"/>
      <c r="H55" s="77"/>
    </row>
    <row r="56" spans="2:8" x14ac:dyDescent="0.25">
      <c r="B56" s="41"/>
      <c r="C56" s="222"/>
      <c r="D56" s="222"/>
      <c r="E56" s="222"/>
      <c r="F56" s="222"/>
      <c r="G56" s="77"/>
      <c r="H56" s="77"/>
    </row>
    <row r="57" spans="2:8" x14ac:dyDescent="0.25">
      <c r="B57" s="41"/>
      <c r="C57" s="222"/>
      <c r="D57" s="222"/>
      <c r="E57" s="222"/>
      <c r="F57" s="222"/>
      <c r="G57" s="77"/>
      <c r="H57" s="77"/>
    </row>
    <row r="58" spans="2:8" x14ac:dyDescent="0.25">
      <c r="B58" s="41"/>
      <c r="C58" s="222"/>
      <c r="D58" s="222"/>
      <c r="E58" s="222"/>
      <c r="F58" s="222"/>
      <c r="G58" s="77"/>
      <c r="H58" s="77"/>
    </row>
    <row r="59" spans="2:8" x14ac:dyDescent="0.25">
      <c r="B59" s="41"/>
      <c r="C59" s="222"/>
      <c r="D59" s="222"/>
      <c r="E59" s="222"/>
      <c r="F59" s="222"/>
      <c r="G59" s="77"/>
      <c r="H59" s="77"/>
    </row>
    <row r="60" spans="2:8" x14ac:dyDescent="0.25">
      <c r="B60" s="17"/>
      <c r="C60" s="17"/>
      <c r="D60" s="17"/>
      <c r="E60" s="17"/>
      <c r="F60" s="17"/>
      <c r="G60" s="17"/>
      <c r="H60" s="17"/>
    </row>
  </sheetData>
  <sheetProtection formatCells="0" formatColumns="0" formatRows="0" insertColumns="0" insertRows="0" insertHyperlinks="0" deleteColumns="0" deleteRows="0" sort="0" autoFilter="0" pivotTables="0"/>
  <mergeCells count="88">
    <mergeCell ref="C26:D26"/>
    <mergeCell ref="E26:F26"/>
    <mergeCell ref="C27:D27"/>
    <mergeCell ref="E27:F27"/>
    <mergeCell ref="C28:D28"/>
    <mergeCell ref="E28:F28"/>
    <mergeCell ref="G23:H23"/>
    <mergeCell ref="B24:B25"/>
    <mergeCell ref="C24:D24"/>
    <mergeCell ref="E24:F24"/>
    <mergeCell ref="C25:D25"/>
    <mergeCell ref="E25:F25"/>
    <mergeCell ref="A7:O7"/>
    <mergeCell ref="E35:F35"/>
    <mergeCell ref="E34:F34"/>
    <mergeCell ref="E33:F33"/>
    <mergeCell ref="E32:F32"/>
    <mergeCell ref="E31:F31"/>
    <mergeCell ref="C32:D32"/>
    <mergeCell ref="C33:D33"/>
    <mergeCell ref="C34:D34"/>
    <mergeCell ref="C35:D35"/>
    <mergeCell ref="B17:E18"/>
    <mergeCell ref="F17:H17"/>
    <mergeCell ref="B19:E19"/>
    <mergeCell ref="B20:E20"/>
    <mergeCell ref="B22:H22"/>
    <mergeCell ref="C23:F23"/>
    <mergeCell ref="E40:F40"/>
    <mergeCell ref="E39:F39"/>
    <mergeCell ref="E38:F38"/>
    <mergeCell ref="E37:F37"/>
    <mergeCell ref="E36:F36"/>
    <mergeCell ref="E45:F45"/>
    <mergeCell ref="E44:F44"/>
    <mergeCell ref="E43:F43"/>
    <mergeCell ref="E42:F42"/>
    <mergeCell ref="E41:F41"/>
    <mergeCell ref="E50:F50"/>
    <mergeCell ref="E49:F49"/>
    <mergeCell ref="E48:F48"/>
    <mergeCell ref="E47:F47"/>
    <mergeCell ref="E46:F46"/>
    <mergeCell ref="E56:F56"/>
    <mergeCell ref="E55:F55"/>
    <mergeCell ref="E54:F54"/>
    <mergeCell ref="E53:F53"/>
    <mergeCell ref="E51:F51"/>
    <mergeCell ref="E52:F52"/>
    <mergeCell ref="C57:D57"/>
    <mergeCell ref="C58:D58"/>
    <mergeCell ref="C59:D59"/>
    <mergeCell ref="E59:F59"/>
    <mergeCell ref="E58:F58"/>
    <mergeCell ref="E57:F57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42:D42"/>
    <mergeCell ref="C43:D43"/>
    <mergeCell ref="C44:D44"/>
    <mergeCell ref="C45:D45"/>
    <mergeCell ref="C46:D46"/>
    <mergeCell ref="C37:D37"/>
    <mergeCell ref="C38:D38"/>
    <mergeCell ref="C39:D39"/>
    <mergeCell ref="C40:D40"/>
    <mergeCell ref="C41:D41"/>
    <mergeCell ref="C36:D36"/>
    <mergeCell ref="C30:D30"/>
    <mergeCell ref="E30:F30"/>
    <mergeCell ref="C31:D31"/>
    <mergeCell ref="C29:D29"/>
    <mergeCell ref="E29:F29"/>
    <mergeCell ref="H5:K5"/>
    <mergeCell ref="L5:O5"/>
    <mergeCell ref="A5:A6"/>
    <mergeCell ref="B5:B6"/>
    <mergeCell ref="C5:C6"/>
    <mergeCell ref="D5:F5"/>
    <mergeCell ref="G5:G6"/>
  </mergeCells>
  <pageMargins left="0.23622047244094491" right="0.23622047244094491" top="0.74803149606299213" bottom="0.74803149606299213" header="0.31496062992125984" footer="0.31496062992125984"/>
  <pageSetup paperSize="9" scale="75" fitToWidth="2" fitToHeight="2" orientation="landscape" r:id="rId1"/>
  <rowBreaks count="1" manualBreakCount="1">
    <brk id="21" max="1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AI38"/>
  <sheetViews>
    <sheetView tabSelected="1" view="pageBreakPreview" topLeftCell="A16" zoomScaleNormal="100" zoomScaleSheetLayoutView="100" workbookViewId="0">
      <selection activeCell="M24" sqref="M24"/>
    </sheetView>
  </sheetViews>
  <sheetFormatPr defaultRowHeight="15" x14ac:dyDescent="0.25"/>
  <cols>
    <col min="1" max="1" width="23.5703125" style="66" customWidth="1"/>
    <col min="2" max="5" width="9.140625" style="66"/>
    <col min="6" max="6" width="10.42578125" style="66" customWidth="1"/>
    <col min="7" max="7" width="11.85546875" style="66" customWidth="1"/>
    <col min="8" max="16384" width="9.140625" style="66"/>
  </cols>
  <sheetData>
    <row r="1" spans="1:35" ht="48" customHeight="1" x14ac:dyDescent="0.25">
      <c r="A1" s="152" t="s">
        <v>109</v>
      </c>
      <c r="B1" s="152"/>
      <c r="C1" s="152"/>
      <c r="D1" s="152"/>
      <c r="E1" s="152"/>
      <c r="F1" s="152"/>
      <c r="G1" s="152"/>
    </row>
    <row r="2" spans="1:35" ht="30.75" customHeight="1" x14ac:dyDescent="0.25">
      <c r="A2" s="67" t="s">
        <v>71</v>
      </c>
      <c r="B2" s="147" t="s">
        <v>72</v>
      </c>
      <c r="C2" s="147"/>
      <c r="D2" s="147"/>
      <c r="E2" s="147"/>
      <c r="F2" s="153" t="s">
        <v>123</v>
      </c>
      <c r="G2" s="154"/>
    </row>
    <row r="3" spans="1:35" ht="25.5" x14ac:dyDescent="0.25">
      <c r="A3" s="150"/>
      <c r="B3" s="148" t="s">
        <v>73</v>
      </c>
      <c r="C3" s="149"/>
      <c r="D3" s="148" t="s">
        <v>74</v>
      </c>
      <c r="E3" s="149"/>
      <c r="F3" s="67" t="s">
        <v>73</v>
      </c>
      <c r="G3" s="67" t="s">
        <v>74</v>
      </c>
    </row>
    <row r="4" spans="1:35" x14ac:dyDescent="0.25">
      <c r="A4" s="151"/>
      <c r="B4" s="148" t="s">
        <v>47</v>
      </c>
      <c r="C4" s="149"/>
      <c r="D4" s="148" t="s">
        <v>47</v>
      </c>
      <c r="E4" s="149"/>
      <c r="F4" s="67" t="s">
        <v>47</v>
      </c>
      <c r="G4" s="67" t="s">
        <v>47</v>
      </c>
    </row>
    <row r="5" spans="1:35" ht="25.5" x14ac:dyDescent="0.25">
      <c r="A5" s="68" t="s">
        <v>75</v>
      </c>
      <c r="B5" s="155">
        <v>80</v>
      </c>
      <c r="C5" s="156"/>
      <c r="D5" s="155">
        <v>80</v>
      </c>
      <c r="E5" s="156"/>
      <c r="F5" s="69">
        <v>40</v>
      </c>
      <c r="G5" s="69">
        <v>40</v>
      </c>
    </row>
    <row r="6" spans="1:35" x14ac:dyDescent="0.25">
      <c r="A6" s="68" t="s">
        <v>76</v>
      </c>
      <c r="B6" s="155">
        <v>150</v>
      </c>
      <c r="C6" s="156"/>
      <c r="D6" s="155">
        <v>150</v>
      </c>
      <c r="E6" s="156"/>
      <c r="F6" s="69">
        <v>40</v>
      </c>
      <c r="G6" s="69">
        <v>40</v>
      </c>
    </row>
    <row r="7" spans="1:35" x14ac:dyDescent="0.25">
      <c r="A7" s="68" t="s">
        <v>77</v>
      </c>
      <c r="B7" s="155">
        <v>15</v>
      </c>
      <c r="C7" s="156"/>
      <c r="D7" s="155">
        <v>15</v>
      </c>
      <c r="E7" s="156"/>
      <c r="F7" s="69">
        <v>7</v>
      </c>
      <c r="G7" s="69">
        <v>7</v>
      </c>
    </row>
    <row r="8" spans="1:35" s="73" customFormat="1" x14ac:dyDescent="0.25">
      <c r="A8" s="70" t="s">
        <v>78</v>
      </c>
      <c r="B8" s="157">
        <v>45</v>
      </c>
      <c r="C8" s="158"/>
      <c r="D8" s="157">
        <v>45</v>
      </c>
      <c r="E8" s="158"/>
      <c r="F8" s="71">
        <f>(31+33+75+44+54+52+75+49)/10</f>
        <v>41.3</v>
      </c>
      <c r="G8" s="71">
        <v>41.3</v>
      </c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</row>
    <row r="9" spans="1:35" x14ac:dyDescent="0.25">
      <c r="A9" s="68" t="s">
        <v>79</v>
      </c>
      <c r="B9" s="155">
        <v>15</v>
      </c>
      <c r="C9" s="156"/>
      <c r="D9" s="155">
        <v>15</v>
      </c>
      <c r="E9" s="156"/>
      <c r="F9" s="69">
        <f>(52.5+10+10+52.5+10)/10</f>
        <v>13.5</v>
      </c>
      <c r="G9" s="69">
        <v>13.5</v>
      </c>
    </row>
    <row r="10" spans="1:35" x14ac:dyDescent="0.25">
      <c r="A10" s="68" t="s">
        <v>80</v>
      </c>
      <c r="B10" s="155" t="s">
        <v>81</v>
      </c>
      <c r="C10" s="156"/>
      <c r="D10" s="159">
        <v>188</v>
      </c>
      <c r="E10" s="160"/>
      <c r="F10" s="69">
        <f>(253.3+33.25+27+40+82.3+238+40+53.4+226.9+100)/10</f>
        <v>109.41500000000001</v>
      </c>
      <c r="G10" s="69">
        <f>(75+170+40+30+179+82.3+30+20+25+190)/10</f>
        <v>84.13</v>
      </c>
    </row>
    <row r="11" spans="1:35" x14ac:dyDescent="0.25">
      <c r="A11" s="68" t="s">
        <v>82</v>
      </c>
      <c r="B11" s="155">
        <v>350</v>
      </c>
      <c r="C11" s="156"/>
      <c r="D11" s="155" t="s">
        <v>83</v>
      </c>
      <c r="E11" s="156"/>
      <c r="F11" s="69">
        <f>(120.3+303.6+221.35+227.85+124.3+138.85+207.85+272.2+249.95+121.05)/10</f>
        <v>198.73</v>
      </c>
      <c r="G11" s="87">
        <f>(69.75+200+218.5+162+111.4+119+121.5+178.9+243.5+88.5)/10</f>
        <v>151.30500000000001</v>
      </c>
    </row>
    <row r="12" spans="1:35" x14ac:dyDescent="0.25">
      <c r="A12" s="68" t="s">
        <v>84</v>
      </c>
      <c r="B12" s="155">
        <v>200</v>
      </c>
      <c r="C12" s="156"/>
      <c r="D12" s="155" t="s">
        <v>85</v>
      </c>
      <c r="E12" s="156"/>
      <c r="F12" s="69"/>
      <c r="G12" s="69"/>
    </row>
    <row r="13" spans="1:35" ht="25.5" x14ac:dyDescent="0.25">
      <c r="A13" s="68" t="s">
        <v>86</v>
      </c>
      <c r="B13" s="155">
        <v>15</v>
      </c>
      <c r="C13" s="156"/>
      <c r="D13" s="155">
        <v>15</v>
      </c>
      <c r="E13" s="156"/>
      <c r="F13" s="69">
        <f>(20.1+5.1+25.6+25.6)/10</f>
        <v>7.6400000000000006</v>
      </c>
      <c r="G13" s="69">
        <f>(37+10+10+37+5+20.1)/10</f>
        <v>11.91</v>
      </c>
    </row>
    <row r="14" spans="1:35" ht="51" x14ac:dyDescent="0.25">
      <c r="A14" s="68" t="s">
        <v>87</v>
      </c>
      <c r="B14" s="155">
        <v>200</v>
      </c>
      <c r="C14" s="156"/>
      <c r="D14" s="155">
        <v>200</v>
      </c>
      <c r="E14" s="156"/>
      <c r="F14" s="69">
        <f>(200+200+200+200+200)/10</f>
        <v>100</v>
      </c>
      <c r="G14" s="69">
        <v>100</v>
      </c>
    </row>
    <row r="15" spans="1:35" ht="25.5" x14ac:dyDescent="0.25">
      <c r="A15" s="68" t="s">
        <v>88</v>
      </c>
      <c r="B15" s="155" t="s">
        <v>89</v>
      </c>
      <c r="C15" s="156"/>
      <c r="D15" s="155">
        <v>70</v>
      </c>
      <c r="E15" s="156"/>
      <c r="F15" s="69">
        <f>(92+40+121+150+121+40+150)/10</f>
        <v>71.400000000000006</v>
      </c>
      <c r="G15" s="69">
        <f>(106+25+96+106+96+25+63)/10</f>
        <v>51.7</v>
      </c>
    </row>
    <row r="16" spans="1:35" ht="38.25" x14ac:dyDescent="0.25">
      <c r="A16" s="68" t="s">
        <v>90</v>
      </c>
      <c r="B16" s="155" t="s">
        <v>91</v>
      </c>
      <c r="C16" s="156"/>
      <c r="D16" s="155">
        <v>35</v>
      </c>
      <c r="E16" s="156"/>
      <c r="F16" s="69">
        <f>(182+40+125)/10</f>
        <v>34.700000000000003</v>
      </c>
      <c r="G16" s="69">
        <f>(60+25+153)/10</f>
        <v>23.8</v>
      </c>
    </row>
    <row r="17" spans="1:7" x14ac:dyDescent="0.25">
      <c r="A17" s="68" t="s">
        <v>92</v>
      </c>
      <c r="B17" s="155">
        <v>60</v>
      </c>
      <c r="C17" s="156"/>
      <c r="D17" s="155">
        <v>58</v>
      </c>
      <c r="E17" s="156"/>
      <c r="F17" s="69">
        <f>(90+246+123)/10</f>
        <v>45.9</v>
      </c>
      <c r="G17" s="69">
        <f>(61+124+66)/10</f>
        <v>25.1</v>
      </c>
    </row>
    <row r="18" spans="1:7" x14ac:dyDescent="0.25">
      <c r="A18" s="68" t="s">
        <v>93</v>
      </c>
      <c r="B18" s="155">
        <v>15</v>
      </c>
      <c r="C18" s="156"/>
      <c r="D18" s="155">
        <v>14.7</v>
      </c>
      <c r="E18" s="156"/>
      <c r="F18" s="69">
        <v>0</v>
      </c>
      <c r="G18" s="69">
        <v>0</v>
      </c>
    </row>
    <row r="19" spans="1:7" ht="25.5" x14ac:dyDescent="0.25">
      <c r="A19" s="68" t="s">
        <v>94</v>
      </c>
      <c r="B19" s="155">
        <v>300</v>
      </c>
      <c r="C19" s="156"/>
      <c r="D19" s="155">
        <v>300</v>
      </c>
      <c r="E19" s="156"/>
      <c r="F19" s="69"/>
      <c r="G19" s="69"/>
    </row>
    <row r="20" spans="1:7" ht="38.25" x14ac:dyDescent="0.25">
      <c r="A20" s="68" t="s">
        <v>95</v>
      </c>
      <c r="B20" s="155">
        <v>150</v>
      </c>
      <c r="C20" s="156"/>
      <c r="D20" s="155">
        <v>150</v>
      </c>
      <c r="E20" s="156"/>
      <c r="F20" s="69"/>
      <c r="G20" s="69"/>
    </row>
    <row r="21" spans="1:7" ht="25.5" x14ac:dyDescent="0.25">
      <c r="A21" s="68" t="s">
        <v>96</v>
      </c>
      <c r="B21" s="155">
        <v>50</v>
      </c>
      <c r="C21" s="156"/>
      <c r="D21" s="155">
        <v>50</v>
      </c>
      <c r="E21" s="156"/>
      <c r="F21" s="69"/>
      <c r="G21" s="69"/>
    </row>
    <row r="22" spans="1:7" x14ac:dyDescent="0.25">
      <c r="A22" s="68" t="s">
        <v>97</v>
      </c>
      <c r="B22" s="155">
        <v>10</v>
      </c>
      <c r="C22" s="156"/>
      <c r="D22" s="155">
        <v>9.8000000000000007</v>
      </c>
      <c r="E22" s="156"/>
      <c r="F22" s="69"/>
      <c r="G22" s="87"/>
    </row>
    <row r="23" spans="1:7" ht="25.5" x14ac:dyDescent="0.25">
      <c r="A23" s="68" t="s">
        <v>98</v>
      </c>
      <c r="B23" s="155">
        <v>10</v>
      </c>
      <c r="C23" s="156"/>
      <c r="D23" s="155">
        <v>10</v>
      </c>
      <c r="E23" s="156"/>
      <c r="F23" s="74">
        <f>(12.5+12.5+12.5+22)/10</f>
        <v>5.95</v>
      </c>
      <c r="G23" s="74">
        <v>5.95</v>
      </c>
    </row>
    <row r="24" spans="1:7" x14ac:dyDescent="0.25">
      <c r="A24" s="68" t="s">
        <v>99</v>
      </c>
      <c r="B24" s="155">
        <v>30</v>
      </c>
      <c r="C24" s="156"/>
      <c r="D24" s="155">
        <v>30</v>
      </c>
      <c r="E24" s="156"/>
      <c r="F24" s="69">
        <v>3</v>
      </c>
      <c r="G24" s="69">
        <v>3</v>
      </c>
    </row>
    <row r="25" spans="1:7" x14ac:dyDescent="0.25">
      <c r="A25" s="68" t="s">
        <v>100</v>
      </c>
      <c r="B25" s="155">
        <v>15</v>
      </c>
      <c r="C25" s="156"/>
      <c r="D25" s="155">
        <v>15</v>
      </c>
      <c r="E25" s="156"/>
      <c r="F25" s="69">
        <f>(10+24+14.15+5+12.32+15.7+15+17+27+10)/10</f>
        <v>15.017000000000001</v>
      </c>
      <c r="G25" s="69">
        <v>15.02</v>
      </c>
    </row>
    <row r="26" spans="1:7" x14ac:dyDescent="0.25">
      <c r="A26" s="68" t="s">
        <v>101</v>
      </c>
      <c r="B26" s="155" t="s">
        <v>102</v>
      </c>
      <c r="C26" s="156"/>
      <c r="D26" s="155">
        <v>40</v>
      </c>
      <c r="E26" s="156"/>
      <c r="F26" s="69"/>
      <c r="G26" s="69"/>
    </row>
    <row r="27" spans="1:7" x14ac:dyDescent="0.25">
      <c r="A27" s="68" t="s">
        <v>103</v>
      </c>
      <c r="B27" s="155">
        <v>40</v>
      </c>
      <c r="C27" s="156"/>
      <c r="D27" s="159">
        <v>40</v>
      </c>
      <c r="E27" s="160"/>
      <c r="F27" s="69">
        <v>10</v>
      </c>
      <c r="G27" s="69">
        <v>10</v>
      </c>
    </row>
    <row r="28" spans="1:7" x14ac:dyDescent="0.25">
      <c r="A28" s="68" t="s">
        <v>104</v>
      </c>
      <c r="B28" s="159">
        <v>10</v>
      </c>
      <c r="C28" s="160"/>
      <c r="D28" s="155">
        <v>10</v>
      </c>
      <c r="E28" s="156"/>
      <c r="F28" s="69"/>
      <c r="G28" s="69"/>
    </row>
    <row r="29" spans="1:7" x14ac:dyDescent="0.25">
      <c r="A29" s="68" t="s">
        <v>105</v>
      </c>
      <c r="B29" s="155">
        <v>0.4</v>
      </c>
      <c r="C29" s="156"/>
      <c r="D29" s="155">
        <v>0.4</v>
      </c>
      <c r="E29" s="156"/>
      <c r="F29" s="69"/>
      <c r="G29" s="69"/>
    </row>
    <row r="30" spans="1:7" x14ac:dyDescent="0.25">
      <c r="A30" s="68" t="s">
        <v>106</v>
      </c>
      <c r="B30" s="155">
        <v>1.2</v>
      </c>
      <c r="C30" s="156"/>
      <c r="D30" s="155">
        <v>1.2</v>
      </c>
      <c r="E30" s="156"/>
      <c r="F30" s="69"/>
      <c r="G30" s="69"/>
    </row>
    <row r="31" spans="1:7" x14ac:dyDescent="0.25">
      <c r="A31" s="68" t="s">
        <v>107</v>
      </c>
      <c r="B31" s="155">
        <v>1</v>
      </c>
      <c r="C31" s="156"/>
      <c r="D31" s="155">
        <v>1</v>
      </c>
      <c r="E31" s="156"/>
      <c r="F31" s="69"/>
      <c r="G31" s="69"/>
    </row>
    <row r="32" spans="1:7" x14ac:dyDescent="0.25">
      <c r="A32" s="68" t="s">
        <v>108</v>
      </c>
      <c r="B32" s="155">
        <v>5</v>
      </c>
      <c r="C32" s="156"/>
      <c r="D32" s="155">
        <v>5</v>
      </c>
      <c r="E32" s="156"/>
      <c r="F32" s="69">
        <f>(3.3+3.1+3+3.03+3.2+3.8+3.56+3+3+5)/10</f>
        <v>3.3989999999999996</v>
      </c>
      <c r="G32" s="69">
        <v>3.4</v>
      </c>
    </row>
    <row r="33" spans="1:8" ht="15.75" thickBot="1" x14ac:dyDescent="0.3"/>
    <row r="34" spans="1:8" ht="39" thickBot="1" x14ac:dyDescent="0.3">
      <c r="A34" s="133" t="s">
        <v>58</v>
      </c>
      <c r="B34" s="134"/>
      <c r="C34" s="134"/>
      <c r="D34" s="134"/>
      <c r="E34" s="137" t="s">
        <v>59</v>
      </c>
      <c r="F34" s="138"/>
      <c r="G34" s="139"/>
      <c r="H34" s="32" t="s">
        <v>60</v>
      </c>
    </row>
    <row r="35" spans="1:8" ht="15.75" thickBot="1" x14ac:dyDescent="0.3">
      <c r="A35" s="135"/>
      <c r="B35" s="136"/>
      <c r="C35" s="136"/>
      <c r="D35" s="136"/>
      <c r="E35" s="33" t="s">
        <v>1</v>
      </c>
      <c r="F35" s="33" t="s">
        <v>2</v>
      </c>
      <c r="G35" s="33" t="s">
        <v>3</v>
      </c>
      <c r="H35" s="34"/>
    </row>
    <row r="36" spans="1:8" ht="15.75" thickBot="1" x14ac:dyDescent="0.3">
      <c r="A36" s="140" t="s">
        <v>62</v>
      </c>
      <c r="B36" s="141"/>
      <c r="C36" s="141"/>
      <c r="D36" s="141"/>
      <c r="E36" s="33" t="s">
        <v>63</v>
      </c>
      <c r="F36" s="33" t="s">
        <v>64</v>
      </c>
      <c r="G36" s="33" t="s">
        <v>65</v>
      </c>
      <c r="H36" s="33" t="s">
        <v>66</v>
      </c>
    </row>
    <row r="37" spans="1:8" ht="15.75" thickBot="1" x14ac:dyDescent="0.3">
      <c r="A37" s="140" t="s">
        <v>67</v>
      </c>
      <c r="B37" s="141"/>
      <c r="C37" s="141"/>
      <c r="D37" s="141"/>
      <c r="E37" s="35">
        <v>29.35</v>
      </c>
      <c r="F37" s="35">
        <v>28.75</v>
      </c>
      <c r="G37" s="35">
        <v>111.14</v>
      </c>
      <c r="H37" s="35">
        <v>863.16</v>
      </c>
    </row>
    <row r="38" spans="1:8" x14ac:dyDescent="0.25">
      <c r="A38"/>
      <c r="B38"/>
      <c r="C38"/>
      <c r="D38"/>
      <c r="E38"/>
      <c r="F38"/>
      <c r="G38"/>
      <c r="H38"/>
    </row>
  </sheetData>
  <mergeCells count="68">
    <mergeCell ref="A36:D36"/>
    <mergeCell ref="A37:D37"/>
    <mergeCell ref="A34:D35"/>
    <mergeCell ref="E34:G34"/>
    <mergeCell ref="B9:C9"/>
    <mergeCell ref="B19:C19"/>
    <mergeCell ref="B18:C18"/>
    <mergeCell ref="B16:C16"/>
    <mergeCell ref="B17:C17"/>
    <mergeCell ref="B15:C15"/>
    <mergeCell ref="B24:C24"/>
    <mergeCell ref="B23:C23"/>
    <mergeCell ref="B22:C22"/>
    <mergeCell ref="B21:C21"/>
    <mergeCell ref="B20:C20"/>
    <mergeCell ref="B28:C28"/>
    <mergeCell ref="B8:C8"/>
    <mergeCell ref="B7:C7"/>
    <mergeCell ref="B6:C6"/>
    <mergeCell ref="B5:C5"/>
    <mergeCell ref="B14:C14"/>
    <mergeCell ref="B13:C13"/>
    <mergeCell ref="B12:C12"/>
    <mergeCell ref="B11:C11"/>
    <mergeCell ref="B10:C10"/>
    <mergeCell ref="B29:C29"/>
    <mergeCell ref="B27:C27"/>
    <mergeCell ref="B26:C26"/>
    <mergeCell ref="B25:C25"/>
    <mergeCell ref="D30:E30"/>
    <mergeCell ref="D25:E25"/>
    <mergeCell ref="D26:E26"/>
    <mergeCell ref="D27:E27"/>
    <mergeCell ref="D28:E28"/>
    <mergeCell ref="D29:E29"/>
    <mergeCell ref="D31:E31"/>
    <mergeCell ref="D32:E32"/>
    <mergeCell ref="B32:C32"/>
    <mergeCell ref="B31:C31"/>
    <mergeCell ref="B30:C30"/>
    <mergeCell ref="D20:E20"/>
    <mergeCell ref="D21:E21"/>
    <mergeCell ref="D22:E22"/>
    <mergeCell ref="D23:E23"/>
    <mergeCell ref="D24:E24"/>
    <mergeCell ref="D15:E15"/>
    <mergeCell ref="D16:E16"/>
    <mergeCell ref="D17:E17"/>
    <mergeCell ref="D18:E18"/>
    <mergeCell ref="D19:E19"/>
    <mergeCell ref="D10:E10"/>
    <mergeCell ref="D11:E11"/>
    <mergeCell ref="D12:E12"/>
    <mergeCell ref="D13:E13"/>
    <mergeCell ref="D14:E14"/>
    <mergeCell ref="D5:E5"/>
    <mergeCell ref="D6:E6"/>
    <mergeCell ref="D7:E7"/>
    <mergeCell ref="D8:E8"/>
    <mergeCell ref="D9:E9"/>
    <mergeCell ref="A1:G1"/>
    <mergeCell ref="B2:E2"/>
    <mergeCell ref="F2:G2"/>
    <mergeCell ref="A3:A4"/>
    <mergeCell ref="B3:C3"/>
    <mergeCell ref="D3:E3"/>
    <mergeCell ref="B4:C4"/>
    <mergeCell ref="D4:E4"/>
  </mergeCells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O70"/>
  <sheetViews>
    <sheetView view="pageBreakPreview" topLeftCell="A19" zoomScale="80" zoomScaleNormal="100" zoomScaleSheetLayoutView="80" workbookViewId="0">
      <selection activeCell="I53" sqref="I53"/>
    </sheetView>
  </sheetViews>
  <sheetFormatPr defaultRowHeight="12.75" x14ac:dyDescent="0.2"/>
  <cols>
    <col min="1" max="1" width="14.7109375" style="24" customWidth="1"/>
    <col min="2" max="2" width="32" style="24" bestFit="1" customWidth="1"/>
    <col min="3" max="3" width="9.28515625" style="24" bestFit="1" customWidth="1"/>
    <col min="4" max="4" width="11.28515625" style="24" bestFit="1" customWidth="1"/>
    <col min="5" max="6" width="9.28515625" style="24" customWidth="1"/>
    <col min="7" max="7" width="12.7109375" style="24" customWidth="1"/>
    <col min="8" max="8" width="10.85546875" style="24" customWidth="1"/>
    <col min="9" max="9" width="10.7109375" style="24" customWidth="1"/>
    <col min="10" max="10" width="9.28515625" style="24" bestFit="1" customWidth="1"/>
    <col min="11" max="11" width="11.28515625" style="24" customWidth="1"/>
    <col min="12" max="12" width="12.28515625" style="24" customWidth="1"/>
    <col min="13" max="13" width="10.42578125" style="24" bestFit="1" customWidth="1"/>
    <col min="14" max="15" width="9.28515625" style="24" bestFit="1" customWidth="1"/>
    <col min="16" max="16384" width="9.140625" style="24"/>
  </cols>
  <sheetData>
    <row r="1" spans="1:15" x14ac:dyDescent="0.2">
      <c r="A1" s="22" t="s">
        <v>40</v>
      </c>
      <c r="B1" s="23" t="s">
        <v>41</v>
      </c>
    </row>
    <row r="2" spans="1:15" x14ac:dyDescent="0.2">
      <c r="A2" s="22" t="s">
        <v>42</v>
      </c>
      <c r="B2" s="23" t="s">
        <v>43</v>
      </c>
    </row>
    <row r="3" spans="1:15" x14ac:dyDescent="0.2">
      <c r="A3" s="22" t="s">
        <v>44</v>
      </c>
      <c r="B3" s="23" t="s">
        <v>45</v>
      </c>
    </row>
    <row r="4" spans="1:15" ht="25.5" x14ac:dyDescent="0.2">
      <c r="A4" s="22" t="s">
        <v>46</v>
      </c>
      <c r="B4" s="23" t="s">
        <v>47</v>
      </c>
    </row>
    <row r="5" spans="1:15" ht="15.75" customHeight="1" x14ac:dyDescent="0.2">
      <c r="A5" s="129" t="s">
        <v>29</v>
      </c>
      <c r="B5" s="129" t="s">
        <v>19</v>
      </c>
      <c r="C5" s="129" t="s">
        <v>21</v>
      </c>
      <c r="D5" s="142" t="s">
        <v>32</v>
      </c>
      <c r="E5" s="143"/>
      <c r="F5" s="144"/>
      <c r="G5" s="129" t="s">
        <v>0</v>
      </c>
      <c r="H5" s="142" t="s">
        <v>31</v>
      </c>
      <c r="I5" s="143"/>
      <c r="J5" s="143"/>
      <c r="K5" s="144"/>
      <c r="L5" s="142" t="s">
        <v>30</v>
      </c>
      <c r="M5" s="143"/>
      <c r="N5" s="143"/>
      <c r="O5" s="144"/>
    </row>
    <row r="6" spans="1:15" ht="24" customHeight="1" x14ac:dyDescent="0.2">
      <c r="A6" s="130"/>
      <c r="B6" s="146"/>
      <c r="C6" s="145"/>
      <c r="D6" s="25" t="s">
        <v>1</v>
      </c>
      <c r="E6" s="25" t="s">
        <v>2</v>
      </c>
      <c r="F6" s="25" t="s">
        <v>3</v>
      </c>
      <c r="G6" s="130"/>
      <c r="H6" s="25" t="s">
        <v>54</v>
      </c>
      <c r="I6" s="25" t="s">
        <v>4</v>
      </c>
      <c r="J6" s="25" t="s">
        <v>5</v>
      </c>
      <c r="K6" s="25" t="s">
        <v>6</v>
      </c>
      <c r="L6" s="25" t="s">
        <v>7</v>
      </c>
      <c r="M6" s="25" t="s">
        <v>8</v>
      </c>
      <c r="N6" s="25" t="s">
        <v>9</v>
      </c>
      <c r="O6" s="25" t="s">
        <v>10</v>
      </c>
    </row>
    <row r="7" spans="1:15" s="26" customFormat="1" ht="15" customHeight="1" x14ac:dyDescent="0.2">
      <c r="A7" s="131" t="s">
        <v>20</v>
      </c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2"/>
    </row>
    <row r="8" spans="1:15" s="26" customFormat="1" x14ac:dyDescent="0.2">
      <c r="A8" s="14">
        <v>59</v>
      </c>
      <c r="B8" s="9" t="s">
        <v>38</v>
      </c>
      <c r="C8" s="14">
        <v>100</v>
      </c>
      <c r="D8" s="15">
        <v>1.0619999999999998</v>
      </c>
      <c r="E8" s="15">
        <v>0.17199999999999999</v>
      </c>
      <c r="F8" s="15">
        <v>8.52</v>
      </c>
      <c r="G8" s="15">
        <v>39.9</v>
      </c>
      <c r="H8" s="15">
        <v>0.05</v>
      </c>
      <c r="I8" s="15">
        <v>4.375</v>
      </c>
      <c r="J8" s="15"/>
      <c r="K8" s="15">
        <v>0.34500000000000003</v>
      </c>
      <c r="L8" s="15">
        <v>23.991999999999997</v>
      </c>
      <c r="M8" s="15">
        <v>44.527999999999999</v>
      </c>
      <c r="N8" s="15">
        <v>30.385000000000002</v>
      </c>
      <c r="O8" s="15">
        <v>1.0649999999999999</v>
      </c>
    </row>
    <row r="9" spans="1:15" s="13" customFormat="1" ht="38.25" x14ac:dyDescent="0.25">
      <c r="A9" s="14">
        <v>96</v>
      </c>
      <c r="B9" s="9" t="s">
        <v>115</v>
      </c>
      <c r="C9" s="14">
        <v>250</v>
      </c>
      <c r="D9" s="15">
        <f>8.07/4+0.8</f>
        <v>2.8174999999999999</v>
      </c>
      <c r="E9" s="15">
        <f>(20.36/4)+0.2</f>
        <v>5.29</v>
      </c>
      <c r="F9" s="15">
        <f>47.92/4</f>
        <v>11.98</v>
      </c>
      <c r="G9" s="15">
        <f>429/4+5+30</f>
        <v>142.25</v>
      </c>
      <c r="H9" s="15">
        <f>0.37/4</f>
        <v>9.2499999999999999E-2</v>
      </c>
      <c r="I9" s="15">
        <f>33.5/4</f>
        <v>8.375</v>
      </c>
      <c r="J9" s="15"/>
      <c r="K9" s="15">
        <f>9.4/4</f>
        <v>2.35</v>
      </c>
      <c r="L9" s="15">
        <f>116.6/4+2</f>
        <v>31.15</v>
      </c>
      <c r="M9" s="15">
        <f>226.9/4</f>
        <v>56.725000000000001</v>
      </c>
      <c r="N9" s="15">
        <f>96.7/4</f>
        <v>24.175000000000001</v>
      </c>
      <c r="O9" s="15">
        <f>3.7/4</f>
        <v>0.92500000000000004</v>
      </c>
    </row>
    <row r="10" spans="1:15" s="26" customFormat="1" x14ac:dyDescent="0.2">
      <c r="A10" s="14">
        <v>309</v>
      </c>
      <c r="B10" s="9" t="s">
        <v>12</v>
      </c>
      <c r="C10" s="14">
        <v>150</v>
      </c>
      <c r="D10" s="15">
        <f>36.78/100*15</f>
        <v>5.5170000000000003</v>
      </c>
      <c r="E10" s="15">
        <f>30.1/100*15</f>
        <v>4.5149999999999997</v>
      </c>
      <c r="F10" s="15">
        <f>176.3/100*15</f>
        <v>26.445</v>
      </c>
      <c r="G10" s="15">
        <f>1123/100*15</f>
        <v>168.45000000000002</v>
      </c>
      <c r="H10" s="15">
        <f>0.37/100*15</f>
        <v>5.5500000000000001E-2</v>
      </c>
      <c r="I10" s="15"/>
      <c r="J10" s="15"/>
      <c r="K10" s="15">
        <f>6.46/100*15</f>
        <v>0.96900000000000008</v>
      </c>
      <c r="L10" s="15">
        <f>32.4/100*15</f>
        <v>4.8600000000000003</v>
      </c>
      <c r="M10" s="15">
        <f>247.8/100*15</f>
        <v>37.17</v>
      </c>
      <c r="N10" s="15">
        <f>140.8/100*15</f>
        <v>21.12</v>
      </c>
      <c r="O10" s="15">
        <f>7.37/100*15</f>
        <v>1.1054999999999999</v>
      </c>
    </row>
    <row r="11" spans="1:15" s="13" customFormat="1" ht="38.25" x14ac:dyDescent="0.25">
      <c r="A11" s="14">
        <v>246</v>
      </c>
      <c r="B11" s="9" t="s">
        <v>55</v>
      </c>
      <c r="C11" s="14">
        <v>100</v>
      </c>
      <c r="D11" s="15">
        <v>13.36</v>
      </c>
      <c r="E11" s="15">
        <v>14.08</v>
      </c>
      <c r="F11" s="15">
        <v>0.85</v>
      </c>
      <c r="G11" s="15">
        <v>164</v>
      </c>
      <c r="H11" s="15">
        <v>0.01</v>
      </c>
      <c r="I11" s="15">
        <v>1.2</v>
      </c>
      <c r="J11" s="15"/>
      <c r="K11" s="15"/>
      <c r="L11" s="15">
        <v>23.6</v>
      </c>
      <c r="M11" s="15">
        <v>117.03</v>
      </c>
      <c r="N11" s="15">
        <v>20.27</v>
      </c>
      <c r="O11" s="15">
        <v>2</v>
      </c>
    </row>
    <row r="12" spans="1:15" s="26" customFormat="1" x14ac:dyDescent="0.2">
      <c r="A12" s="14">
        <v>348</v>
      </c>
      <c r="B12" s="9" t="s">
        <v>53</v>
      </c>
      <c r="C12" s="14">
        <v>200</v>
      </c>
      <c r="D12" s="15">
        <f>3.9/5</f>
        <v>0.78</v>
      </c>
      <c r="E12" s="15">
        <f>0.23/5</f>
        <v>4.5999999999999999E-2</v>
      </c>
      <c r="F12" s="15">
        <f>138.15/5</f>
        <v>27.630000000000003</v>
      </c>
      <c r="G12" s="15">
        <f>574/5</f>
        <v>114.8</v>
      </c>
      <c r="H12" s="15">
        <f>0.08/5</f>
        <v>1.6E-2</v>
      </c>
      <c r="I12" s="15">
        <f>3/5</f>
        <v>0.6</v>
      </c>
      <c r="J12" s="15"/>
      <c r="K12" s="15">
        <f>4.12/5</f>
        <v>0.82400000000000007</v>
      </c>
      <c r="L12" s="15">
        <f>161.6/5</f>
        <v>32.32</v>
      </c>
      <c r="M12" s="15">
        <f>109.5/5</f>
        <v>21.9</v>
      </c>
      <c r="N12" s="15">
        <f>87.8/5</f>
        <v>17.559999999999999</v>
      </c>
      <c r="O12" s="15">
        <f>2.4/5</f>
        <v>0.48</v>
      </c>
    </row>
    <row r="13" spans="1:15" s="26" customFormat="1" x14ac:dyDescent="0.2">
      <c r="A13" s="42"/>
      <c r="B13" s="9" t="s">
        <v>14</v>
      </c>
      <c r="C13" s="14">
        <v>40</v>
      </c>
      <c r="D13" s="15">
        <v>2.2400000000000002</v>
      </c>
      <c r="E13" s="15">
        <v>0.88</v>
      </c>
      <c r="F13" s="15">
        <v>19.760000000000002</v>
      </c>
      <c r="G13" s="15">
        <v>91.96</v>
      </c>
      <c r="H13" s="15">
        <v>0.04</v>
      </c>
      <c r="I13" s="15"/>
      <c r="J13" s="15"/>
      <c r="K13" s="15">
        <v>0.36</v>
      </c>
      <c r="L13" s="15">
        <v>9.1999999999999993</v>
      </c>
      <c r="M13" s="15">
        <v>42.4</v>
      </c>
      <c r="N13" s="15">
        <v>10</v>
      </c>
      <c r="O13" s="15">
        <v>1.24</v>
      </c>
    </row>
    <row r="14" spans="1:15" s="13" customFormat="1" ht="15" x14ac:dyDescent="0.25">
      <c r="A14" s="42"/>
      <c r="B14" s="9" t="s">
        <v>76</v>
      </c>
      <c r="C14" s="92">
        <v>40</v>
      </c>
      <c r="D14" s="15">
        <v>3.16</v>
      </c>
      <c r="E14" s="15">
        <v>0.4</v>
      </c>
      <c r="F14" s="15">
        <v>19.32</v>
      </c>
      <c r="G14" s="15">
        <v>93.52</v>
      </c>
      <c r="H14" s="15">
        <v>0.04</v>
      </c>
      <c r="I14" s="15"/>
      <c r="J14" s="15"/>
      <c r="K14" s="15">
        <v>0.52</v>
      </c>
      <c r="L14" s="15">
        <v>9.1999999999999993</v>
      </c>
      <c r="M14" s="15">
        <v>34.799999999999997</v>
      </c>
      <c r="N14" s="15">
        <v>13.2</v>
      </c>
      <c r="O14" s="15">
        <v>0.44</v>
      </c>
    </row>
    <row r="15" spans="1:15" s="26" customFormat="1" x14ac:dyDescent="0.2">
      <c r="A15" s="93" t="s">
        <v>11</v>
      </c>
      <c r="B15" s="94"/>
      <c r="C15" s="94"/>
      <c r="D15" s="96">
        <f t="shared" ref="D15:F15" si="0">SUM(D8:D14)</f>
        <v>28.936499999999999</v>
      </c>
      <c r="E15" s="96">
        <f t="shared" si="0"/>
        <v>25.382999999999999</v>
      </c>
      <c r="F15" s="96">
        <f t="shared" si="0"/>
        <v>114.50500000000002</v>
      </c>
      <c r="G15" s="96">
        <f>SUM(G8:G14)</f>
        <v>814.88</v>
      </c>
      <c r="H15" s="95"/>
      <c r="I15" s="95"/>
      <c r="J15" s="95"/>
      <c r="K15" s="95"/>
      <c r="L15" s="95"/>
      <c r="M15" s="95"/>
      <c r="N15" s="95"/>
      <c r="O15" s="95"/>
    </row>
    <row r="16" spans="1:15" ht="13.5" thickBot="1" x14ac:dyDescent="0.25"/>
    <row r="17" spans="2:15" ht="39" thickBot="1" x14ac:dyDescent="0.25">
      <c r="B17" s="133" t="s">
        <v>58</v>
      </c>
      <c r="C17" s="134"/>
      <c r="D17" s="134"/>
      <c r="E17" s="134"/>
      <c r="F17" s="137" t="s">
        <v>59</v>
      </c>
      <c r="G17" s="138"/>
      <c r="H17" s="139"/>
      <c r="I17" s="32" t="s">
        <v>60</v>
      </c>
      <c r="K17" s="22" t="s">
        <v>40</v>
      </c>
      <c r="L17" s="23" t="s">
        <v>41</v>
      </c>
    </row>
    <row r="18" spans="2:15" ht="13.5" thickBot="1" x14ac:dyDescent="0.25">
      <c r="B18" s="135"/>
      <c r="C18" s="136"/>
      <c r="D18" s="136"/>
      <c r="E18" s="136"/>
      <c r="F18" s="33" t="s">
        <v>1</v>
      </c>
      <c r="G18" s="33" t="s">
        <v>2</v>
      </c>
      <c r="H18" s="33" t="s">
        <v>3</v>
      </c>
      <c r="I18" s="34"/>
      <c r="K18" s="22" t="s">
        <v>42</v>
      </c>
      <c r="L18" s="23" t="s">
        <v>43</v>
      </c>
    </row>
    <row r="19" spans="2:15" ht="26.25" thickBot="1" x14ac:dyDescent="0.25">
      <c r="B19" s="140" t="s">
        <v>62</v>
      </c>
      <c r="C19" s="141"/>
      <c r="D19" s="141"/>
      <c r="E19" s="141"/>
      <c r="F19" s="33" t="s">
        <v>63</v>
      </c>
      <c r="G19" s="33" t="s">
        <v>64</v>
      </c>
      <c r="H19" s="33" t="s">
        <v>65</v>
      </c>
      <c r="I19" s="33" t="s">
        <v>66</v>
      </c>
      <c r="K19" s="22" t="s">
        <v>44</v>
      </c>
      <c r="L19" s="23" t="s">
        <v>45</v>
      </c>
    </row>
    <row r="20" spans="2:15" ht="26.25" thickBot="1" x14ac:dyDescent="0.25">
      <c r="B20" s="140" t="s">
        <v>61</v>
      </c>
      <c r="C20" s="141"/>
      <c r="D20" s="141"/>
      <c r="E20" s="141"/>
      <c r="F20" s="35">
        <f>D15</f>
        <v>28.936499999999999</v>
      </c>
      <c r="G20" s="35">
        <f>E15</f>
        <v>25.382999999999999</v>
      </c>
      <c r="H20" s="35">
        <f>F15</f>
        <v>114.50500000000002</v>
      </c>
      <c r="I20" s="35">
        <f>G15</f>
        <v>814.88</v>
      </c>
      <c r="K20" s="22" t="s">
        <v>46</v>
      </c>
      <c r="L20" s="23" t="s">
        <v>47</v>
      </c>
    </row>
    <row r="21" spans="2:15" x14ac:dyDescent="0.2">
      <c r="O21" s="39"/>
    </row>
    <row r="22" spans="2:15" ht="28.5" customHeight="1" x14ac:dyDescent="0.2">
      <c r="B22" s="152" t="s">
        <v>109</v>
      </c>
      <c r="C22" s="152"/>
      <c r="D22" s="152"/>
      <c r="E22" s="152"/>
      <c r="F22" s="152"/>
      <c r="G22" s="152"/>
      <c r="H22" s="152"/>
      <c r="I22" s="40"/>
      <c r="J22" s="40"/>
      <c r="K22" s="40"/>
      <c r="L22" s="40"/>
      <c r="M22" s="40"/>
      <c r="N22" s="40"/>
      <c r="O22" s="40"/>
    </row>
    <row r="23" spans="2:15" x14ac:dyDescent="0.2">
      <c r="B23" s="67" t="s">
        <v>71</v>
      </c>
      <c r="C23" s="147" t="s">
        <v>72</v>
      </c>
      <c r="D23" s="147"/>
      <c r="E23" s="147"/>
      <c r="F23" s="147"/>
      <c r="G23" s="153" t="s">
        <v>123</v>
      </c>
      <c r="H23" s="154"/>
    </row>
    <row r="24" spans="2:15" ht="25.5" x14ac:dyDescent="0.2">
      <c r="B24" s="150"/>
      <c r="C24" s="148" t="s">
        <v>73</v>
      </c>
      <c r="D24" s="149"/>
      <c r="E24" s="148" t="s">
        <v>74</v>
      </c>
      <c r="F24" s="149"/>
      <c r="G24" s="67" t="s">
        <v>73</v>
      </c>
      <c r="H24" s="67" t="s">
        <v>74</v>
      </c>
      <c r="J24" s="41"/>
    </row>
    <row r="25" spans="2:15" x14ac:dyDescent="0.2">
      <c r="B25" s="151"/>
      <c r="C25" s="148" t="s">
        <v>47</v>
      </c>
      <c r="D25" s="149"/>
      <c r="E25" s="148" t="s">
        <v>47</v>
      </c>
      <c r="F25" s="149"/>
      <c r="G25" s="67" t="s">
        <v>47</v>
      </c>
      <c r="H25" s="67" t="s">
        <v>47</v>
      </c>
    </row>
    <row r="26" spans="2:15" x14ac:dyDescent="0.2">
      <c r="B26" s="68" t="s">
        <v>75</v>
      </c>
      <c r="C26" s="155">
        <v>80</v>
      </c>
      <c r="D26" s="156"/>
      <c r="E26" s="155">
        <v>80</v>
      </c>
      <c r="F26" s="156"/>
      <c r="G26" s="69">
        <f>40</f>
        <v>40</v>
      </c>
      <c r="H26" s="69">
        <v>40</v>
      </c>
    </row>
    <row r="27" spans="2:15" x14ac:dyDescent="0.2">
      <c r="B27" s="68" t="s">
        <v>76</v>
      </c>
      <c r="C27" s="155">
        <v>150</v>
      </c>
      <c r="D27" s="156"/>
      <c r="E27" s="155">
        <v>150</v>
      </c>
      <c r="F27" s="156"/>
      <c r="G27" s="69">
        <v>40</v>
      </c>
      <c r="H27" s="69">
        <v>40</v>
      </c>
    </row>
    <row r="28" spans="2:15" x14ac:dyDescent="0.2">
      <c r="B28" s="68" t="s">
        <v>77</v>
      </c>
      <c r="C28" s="155">
        <v>15</v>
      </c>
      <c r="D28" s="156"/>
      <c r="E28" s="155">
        <v>15</v>
      </c>
      <c r="F28" s="156"/>
      <c r="G28" s="69">
        <f>2</f>
        <v>2</v>
      </c>
      <c r="H28" s="69">
        <v>2</v>
      </c>
    </row>
    <row r="29" spans="2:15" x14ac:dyDescent="0.2">
      <c r="B29" s="70" t="s">
        <v>78</v>
      </c>
      <c r="C29" s="157">
        <v>45</v>
      </c>
      <c r="D29" s="158"/>
      <c r="E29" s="157">
        <v>45</v>
      </c>
      <c r="F29" s="158"/>
      <c r="G29" s="71">
        <f>44+5</f>
        <v>49</v>
      </c>
      <c r="H29" s="71">
        <v>49</v>
      </c>
    </row>
    <row r="30" spans="2:15" x14ac:dyDescent="0.2">
      <c r="B30" s="68" t="s">
        <v>79</v>
      </c>
      <c r="C30" s="155">
        <v>15</v>
      </c>
      <c r="D30" s="156"/>
      <c r="E30" s="155">
        <v>15</v>
      </c>
      <c r="F30" s="156"/>
      <c r="G30" s="69">
        <v>52.5</v>
      </c>
      <c r="H30" s="69">
        <v>52.5</v>
      </c>
    </row>
    <row r="31" spans="2:15" ht="12.75" customHeight="1" x14ac:dyDescent="0.2">
      <c r="B31" s="68" t="s">
        <v>80</v>
      </c>
      <c r="C31" s="155" t="s">
        <v>81</v>
      </c>
      <c r="D31" s="156"/>
      <c r="E31" s="159">
        <v>188</v>
      </c>
      <c r="F31" s="160"/>
      <c r="G31" s="69">
        <v>100</v>
      </c>
      <c r="H31" s="69">
        <v>75</v>
      </c>
    </row>
    <row r="32" spans="2:15" x14ac:dyDescent="0.2">
      <c r="B32" s="68" t="s">
        <v>82</v>
      </c>
      <c r="C32" s="155">
        <v>350</v>
      </c>
      <c r="D32" s="156"/>
      <c r="E32" s="155" t="s">
        <v>83</v>
      </c>
      <c r="F32" s="156"/>
      <c r="G32" s="69">
        <f>16.75+12.5+6+43.8+12+12+3+2.5+12.5</f>
        <v>121.05</v>
      </c>
      <c r="H32" s="87">
        <f>2+2+10+10+10.75+10+15+10</f>
        <v>69.75</v>
      </c>
    </row>
    <row r="33" spans="2:8" x14ac:dyDescent="0.2">
      <c r="B33" s="68" t="s">
        <v>84</v>
      </c>
      <c r="C33" s="155">
        <v>200</v>
      </c>
      <c r="D33" s="156"/>
      <c r="E33" s="155" t="s">
        <v>85</v>
      </c>
      <c r="F33" s="156"/>
      <c r="G33" s="69"/>
      <c r="H33" s="69"/>
    </row>
    <row r="34" spans="2:8" ht="25.5" x14ac:dyDescent="0.2">
      <c r="B34" s="68" t="s">
        <v>86</v>
      </c>
      <c r="C34" s="155">
        <v>15</v>
      </c>
      <c r="D34" s="156"/>
      <c r="E34" s="155">
        <v>15</v>
      </c>
      <c r="F34" s="156"/>
      <c r="G34" s="69">
        <v>20</v>
      </c>
      <c r="H34" s="69">
        <v>37</v>
      </c>
    </row>
    <row r="35" spans="2:8" ht="38.25" x14ac:dyDescent="0.2">
      <c r="B35" s="68" t="s">
        <v>87</v>
      </c>
      <c r="C35" s="155">
        <v>200</v>
      </c>
      <c r="D35" s="156"/>
      <c r="E35" s="155">
        <v>200</v>
      </c>
      <c r="F35" s="156"/>
      <c r="G35" s="69"/>
      <c r="H35" s="69"/>
    </row>
    <row r="36" spans="2:8" ht="25.5" x14ac:dyDescent="0.2">
      <c r="B36" s="68" t="s">
        <v>88</v>
      </c>
      <c r="C36" s="155" t="s">
        <v>89</v>
      </c>
      <c r="D36" s="156"/>
      <c r="E36" s="155">
        <v>70</v>
      </c>
      <c r="F36" s="156"/>
      <c r="G36" s="87">
        <f>150</f>
        <v>150</v>
      </c>
      <c r="H36" s="69">
        <f>81+25</f>
        <v>106</v>
      </c>
    </row>
    <row r="37" spans="2:8" ht="25.5" x14ac:dyDescent="0.2">
      <c r="B37" s="68" t="s">
        <v>90</v>
      </c>
      <c r="C37" s="155" t="s">
        <v>91</v>
      </c>
      <c r="D37" s="156"/>
      <c r="E37" s="155">
        <v>35</v>
      </c>
      <c r="F37" s="156"/>
      <c r="G37" s="69"/>
      <c r="H37" s="69"/>
    </row>
    <row r="38" spans="2:8" x14ac:dyDescent="0.2">
      <c r="B38" s="68" t="s">
        <v>92</v>
      </c>
      <c r="C38" s="155">
        <v>60</v>
      </c>
      <c r="D38" s="156"/>
      <c r="E38" s="155">
        <v>58</v>
      </c>
      <c r="F38" s="156"/>
      <c r="G38" s="69"/>
      <c r="H38" s="69"/>
    </row>
    <row r="39" spans="2:8" x14ac:dyDescent="0.2">
      <c r="B39" s="68" t="s">
        <v>93</v>
      </c>
      <c r="C39" s="155">
        <v>15</v>
      </c>
      <c r="D39" s="156"/>
      <c r="E39" s="155">
        <v>14.7</v>
      </c>
      <c r="F39" s="156"/>
      <c r="G39" s="69"/>
      <c r="H39" s="69"/>
    </row>
    <row r="40" spans="2:8" ht="25.5" x14ac:dyDescent="0.2">
      <c r="B40" s="68" t="s">
        <v>94</v>
      </c>
      <c r="C40" s="155">
        <v>300</v>
      </c>
      <c r="D40" s="156"/>
      <c r="E40" s="155">
        <v>300</v>
      </c>
      <c r="F40" s="156"/>
      <c r="G40" s="69"/>
      <c r="H40" s="69"/>
    </row>
    <row r="41" spans="2:8" ht="25.5" x14ac:dyDescent="0.2">
      <c r="B41" s="68" t="s">
        <v>95</v>
      </c>
      <c r="C41" s="155">
        <v>150</v>
      </c>
      <c r="D41" s="156"/>
      <c r="E41" s="155">
        <v>150</v>
      </c>
      <c r="F41" s="156"/>
      <c r="G41" s="69"/>
      <c r="H41" s="69"/>
    </row>
    <row r="42" spans="2:8" ht="25.5" x14ac:dyDescent="0.2">
      <c r="B42" s="68" t="s">
        <v>96</v>
      </c>
      <c r="C42" s="155">
        <v>50</v>
      </c>
      <c r="D42" s="156"/>
      <c r="E42" s="155">
        <v>50</v>
      </c>
      <c r="F42" s="156"/>
      <c r="G42" s="69"/>
      <c r="H42" s="69"/>
    </row>
    <row r="43" spans="2:8" x14ac:dyDescent="0.2">
      <c r="B43" s="68" t="s">
        <v>97</v>
      </c>
      <c r="C43" s="155">
        <v>10</v>
      </c>
      <c r="D43" s="156"/>
      <c r="E43" s="155">
        <v>9.8000000000000007</v>
      </c>
      <c r="F43" s="156"/>
      <c r="G43" s="69"/>
      <c r="H43" s="87"/>
    </row>
    <row r="44" spans="2:8" ht="25.5" x14ac:dyDescent="0.2">
      <c r="B44" s="68" t="s">
        <v>98</v>
      </c>
      <c r="C44" s="155">
        <v>10</v>
      </c>
      <c r="D44" s="156"/>
      <c r="E44" s="155">
        <v>10</v>
      </c>
      <c r="F44" s="156"/>
      <c r="G44" s="74"/>
      <c r="H44" s="74"/>
    </row>
    <row r="45" spans="2:8" x14ac:dyDescent="0.2">
      <c r="B45" s="68" t="s">
        <v>99</v>
      </c>
      <c r="C45" s="155">
        <v>30</v>
      </c>
      <c r="D45" s="156"/>
      <c r="E45" s="155">
        <v>30</v>
      </c>
      <c r="F45" s="156"/>
      <c r="G45" s="69"/>
      <c r="H45" s="69"/>
    </row>
    <row r="46" spans="2:8" x14ac:dyDescent="0.2">
      <c r="B46" s="68" t="s">
        <v>100</v>
      </c>
      <c r="C46" s="155">
        <v>15</v>
      </c>
      <c r="D46" s="156"/>
      <c r="E46" s="155">
        <v>15</v>
      </c>
      <c r="F46" s="156"/>
      <c r="G46" s="69">
        <v>10</v>
      </c>
      <c r="H46" s="69">
        <v>10</v>
      </c>
    </row>
    <row r="47" spans="2:8" x14ac:dyDescent="0.2">
      <c r="B47" s="68" t="s">
        <v>101</v>
      </c>
      <c r="C47" s="155" t="s">
        <v>102</v>
      </c>
      <c r="D47" s="156"/>
      <c r="E47" s="155">
        <v>40</v>
      </c>
      <c r="F47" s="156"/>
      <c r="G47" s="69"/>
      <c r="H47" s="69"/>
    </row>
    <row r="48" spans="2:8" x14ac:dyDescent="0.2">
      <c r="B48" s="68" t="s">
        <v>103</v>
      </c>
      <c r="C48" s="155">
        <v>40</v>
      </c>
      <c r="D48" s="156"/>
      <c r="E48" s="159">
        <v>40</v>
      </c>
      <c r="F48" s="160"/>
      <c r="G48" s="87">
        <f>20+6</f>
        <v>26</v>
      </c>
      <c r="H48" s="69">
        <v>26</v>
      </c>
    </row>
    <row r="49" spans="2:8" x14ac:dyDescent="0.2">
      <c r="B49" s="68" t="s">
        <v>104</v>
      </c>
      <c r="C49" s="159">
        <v>10</v>
      </c>
      <c r="D49" s="160"/>
      <c r="E49" s="155">
        <v>10</v>
      </c>
      <c r="F49" s="156"/>
      <c r="G49" s="69"/>
      <c r="H49" s="69"/>
    </row>
    <row r="50" spans="2:8" x14ac:dyDescent="0.2">
      <c r="B50" s="68" t="s">
        <v>105</v>
      </c>
      <c r="C50" s="155">
        <v>0.4</v>
      </c>
      <c r="D50" s="156"/>
      <c r="E50" s="155">
        <v>0.4</v>
      </c>
      <c r="F50" s="156"/>
      <c r="G50" s="69"/>
      <c r="H50" s="69"/>
    </row>
    <row r="51" spans="2:8" x14ac:dyDescent="0.2">
      <c r="B51" s="68" t="s">
        <v>106</v>
      </c>
      <c r="C51" s="155">
        <v>1.2</v>
      </c>
      <c r="D51" s="156"/>
      <c r="E51" s="155">
        <v>1.2</v>
      </c>
      <c r="F51" s="156"/>
      <c r="G51" s="69"/>
      <c r="H51" s="69"/>
    </row>
    <row r="52" spans="2:8" x14ac:dyDescent="0.2">
      <c r="B52" s="68" t="s">
        <v>107</v>
      </c>
      <c r="C52" s="155">
        <v>1</v>
      </c>
      <c r="D52" s="156"/>
      <c r="E52" s="155">
        <v>1</v>
      </c>
      <c r="F52" s="156"/>
      <c r="G52" s="69"/>
      <c r="H52" s="69"/>
    </row>
    <row r="53" spans="2:8" x14ac:dyDescent="0.2">
      <c r="B53" s="68" t="s">
        <v>108</v>
      </c>
      <c r="C53" s="155">
        <v>5</v>
      </c>
      <c r="D53" s="156"/>
      <c r="E53" s="155">
        <v>5</v>
      </c>
      <c r="F53" s="156"/>
      <c r="G53" s="69">
        <v>2</v>
      </c>
      <c r="H53" s="69">
        <v>2</v>
      </c>
    </row>
    <row r="61" spans="2:8" ht="15" x14ac:dyDescent="0.25">
      <c r="B61"/>
      <c r="C61"/>
      <c r="D61"/>
      <c r="E61"/>
      <c r="F61"/>
    </row>
    <row r="62" spans="2:8" ht="15" x14ac:dyDescent="0.25">
      <c r="B62" s="40"/>
      <c r="C62"/>
      <c r="D62"/>
      <c r="E62"/>
      <c r="F62"/>
    </row>
    <row r="63" spans="2:8" ht="15" x14ac:dyDescent="0.25">
      <c r="B63"/>
      <c r="C63"/>
      <c r="D63"/>
      <c r="E63"/>
      <c r="F63"/>
    </row>
    <row r="64" spans="2:8" ht="15" x14ac:dyDescent="0.25">
      <c r="B64" s="40"/>
      <c r="C64"/>
      <c r="D64"/>
      <c r="E64"/>
      <c r="F64"/>
    </row>
    <row r="65" spans="2:6" ht="15" x14ac:dyDescent="0.25">
      <c r="B65"/>
      <c r="C65"/>
      <c r="D65"/>
      <c r="E65"/>
      <c r="F65"/>
    </row>
    <row r="66" spans="2:6" ht="15" x14ac:dyDescent="0.25">
      <c r="B66" s="40"/>
      <c r="C66"/>
      <c r="D66"/>
      <c r="E66"/>
      <c r="F66"/>
    </row>
    <row r="67" spans="2:6" ht="15" x14ac:dyDescent="0.25">
      <c r="B67"/>
      <c r="C67"/>
      <c r="D67"/>
      <c r="E67"/>
      <c r="F67"/>
    </row>
    <row r="68" spans="2:6" ht="15" x14ac:dyDescent="0.25">
      <c r="B68" s="40"/>
      <c r="C68"/>
      <c r="D68"/>
      <c r="E68"/>
      <c r="F68"/>
    </row>
    <row r="69" spans="2:6" ht="15" x14ac:dyDescent="0.25">
      <c r="B69"/>
      <c r="C69"/>
      <c r="D69"/>
      <c r="E69"/>
      <c r="F69"/>
    </row>
    <row r="70" spans="2:6" ht="15" x14ac:dyDescent="0.25">
      <c r="B70" s="40"/>
      <c r="C70"/>
      <c r="D70"/>
      <c r="E70"/>
      <c r="F70"/>
    </row>
  </sheetData>
  <sheetProtection formatCells="0" formatColumns="0" formatRows="0" insertColumns="0" insertRows="0" insertHyperlinks="0" deleteColumns="0" deleteRows="0" sort="0" autoFilter="0" pivotTables="0"/>
  <mergeCells count="76">
    <mergeCell ref="E31:F31"/>
    <mergeCell ref="E53:F53"/>
    <mergeCell ref="E48:F48"/>
    <mergeCell ref="E49:F49"/>
    <mergeCell ref="E50:F50"/>
    <mergeCell ref="E51:F51"/>
    <mergeCell ref="E52:F52"/>
    <mergeCell ref="E43:F43"/>
    <mergeCell ref="E44:F44"/>
    <mergeCell ref="E45:F45"/>
    <mergeCell ref="E46:F46"/>
    <mergeCell ref="E47:F47"/>
    <mergeCell ref="E38:F38"/>
    <mergeCell ref="E39:F39"/>
    <mergeCell ref="E40:F40"/>
    <mergeCell ref="E41:F41"/>
    <mergeCell ref="E42:F42"/>
    <mergeCell ref="C51:D51"/>
    <mergeCell ref="C52:D52"/>
    <mergeCell ref="C53:D53"/>
    <mergeCell ref="E25:F25"/>
    <mergeCell ref="E26:F26"/>
    <mergeCell ref="E27:F27"/>
    <mergeCell ref="E28:F28"/>
    <mergeCell ref="E29:F29"/>
    <mergeCell ref="E30:F30"/>
    <mergeCell ref="E32:F32"/>
    <mergeCell ref="E33:F33"/>
    <mergeCell ref="E34:F34"/>
    <mergeCell ref="E35:F35"/>
    <mergeCell ref="E36:F36"/>
    <mergeCell ref="E37:F37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3:F23"/>
    <mergeCell ref="E24:F24"/>
    <mergeCell ref="B24:B25"/>
    <mergeCell ref="B22:H22"/>
    <mergeCell ref="G23:H23"/>
    <mergeCell ref="C25:D25"/>
    <mergeCell ref="C24:D24"/>
    <mergeCell ref="B20:E20"/>
    <mergeCell ref="L5:O5"/>
    <mergeCell ref="G5:G6"/>
    <mergeCell ref="D5:F5"/>
    <mergeCell ref="H5:K5"/>
    <mergeCell ref="C5:C6"/>
    <mergeCell ref="B5:B6"/>
    <mergeCell ref="A5:A6"/>
    <mergeCell ref="A7:O7"/>
    <mergeCell ref="B17:E18"/>
    <mergeCell ref="F17:H17"/>
    <mergeCell ref="B19:E19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rowBreaks count="1" manualBreakCount="1">
    <brk id="16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S59"/>
  <sheetViews>
    <sheetView view="pageBreakPreview" topLeftCell="A25" zoomScale="80" zoomScaleNormal="80" zoomScaleSheetLayoutView="80" workbookViewId="0">
      <selection activeCell="H52" sqref="H52"/>
    </sheetView>
  </sheetViews>
  <sheetFormatPr defaultRowHeight="15" x14ac:dyDescent="0.25"/>
  <cols>
    <col min="1" max="1" width="13" style="52" customWidth="1"/>
    <col min="2" max="2" width="28.7109375" style="52" customWidth="1"/>
    <col min="3" max="3" width="15.7109375" style="78" bestFit="1" customWidth="1"/>
    <col min="4" max="5" width="9.140625" style="52"/>
    <col min="6" max="6" width="9.5703125" style="52" bestFit="1" customWidth="1"/>
    <col min="7" max="7" width="13" style="52" customWidth="1"/>
    <col min="8" max="8" width="9.140625" style="52"/>
    <col min="9" max="9" width="9.5703125" style="52" bestFit="1" customWidth="1"/>
    <col min="10" max="11" width="9.140625" style="52"/>
    <col min="12" max="14" width="9.5703125" style="52" bestFit="1" customWidth="1"/>
    <col min="15" max="16384" width="9.140625" style="52"/>
  </cols>
  <sheetData>
    <row r="1" spans="1:19" ht="15.75" x14ac:dyDescent="0.25">
      <c r="A1" s="50" t="s">
        <v>40</v>
      </c>
      <c r="B1" s="51" t="s">
        <v>48</v>
      </c>
    </row>
    <row r="2" spans="1:19" ht="15.75" x14ac:dyDescent="0.25">
      <c r="A2" s="50" t="s">
        <v>42</v>
      </c>
      <c r="B2" s="51" t="s">
        <v>43</v>
      </c>
    </row>
    <row r="3" spans="1:19" ht="15.75" x14ac:dyDescent="0.25">
      <c r="A3" s="50" t="s">
        <v>44</v>
      </c>
      <c r="B3" s="51" t="s">
        <v>45</v>
      </c>
    </row>
    <row r="4" spans="1:19" ht="31.5" x14ac:dyDescent="0.25">
      <c r="A4" s="50" t="s">
        <v>46</v>
      </c>
      <c r="B4" s="51" t="s">
        <v>47</v>
      </c>
    </row>
    <row r="5" spans="1:19" ht="15.75" x14ac:dyDescent="0.25">
      <c r="A5" s="164" t="s">
        <v>29</v>
      </c>
      <c r="B5" s="164" t="s">
        <v>19</v>
      </c>
      <c r="C5" s="167" t="s">
        <v>21</v>
      </c>
      <c r="D5" s="161" t="s">
        <v>32</v>
      </c>
      <c r="E5" s="162"/>
      <c r="F5" s="163"/>
      <c r="G5" s="164" t="s">
        <v>0</v>
      </c>
      <c r="H5" s="161" t="s">
        <v>31</v>
      </c>
      <c r="I5" s="162"/>
      <c r="J5" s="162"/>
      <c r="K5" s="163"/>
      <c r="L5" s="161" t="s">
        <v>30</v>
      </c>
      <c r="M5" s="162"/>
      <c r="N5" s="162"/>
      <c r="O5" s="163"/>
    </row>
    <row r="6" spans="1:19" ht="15.75" x14ac:dyDescent="0.25">
      <c r="A6" s="165"/>
      <c r="B6" s="166"/>
      <c r="C6" s="168"/>
      <c r="D6" s="53" t="s">
        <v>1</v>
      </c>
      <c r="E6" s="53" t="s">
        <v>2</v>
      </c>
      <c r="F6" s="53" t="s">
        <v>3</v>
      </c>
      <c r="G6" s="165"/>
      <c r="H6" s="53" t="s">
        <v>124</v>
      </c>
      <c r="I6" s="53" t="s">
        <v>4</v>
      </c>
      <c r="J6" s="53" t="s">
        <v>5</v>
      </c>
      <c r="K6" s="53" t="s">
        <v>6</v>
      </c>
      <c r="L6" s="53" t="s">
        <v>7</v>
      </c>
      <c r="M6" s="53" t="s">
        <v>8</v>
      </c>
      <c r="N6" s="53" t="s">
        <v>9</v>
      </c>
      <c r="O6" s="53" t="s">
        <v>10</v>
      </c>
    </row>
    <row r="7" spans="1:19" ht="18.75" x14ac:dyDescent="0.25">
      <c r="A7" s="178" t="s">
        <v>20</v>
      </c>
      <c r="B7" s="178"/>
      <c r="C7" s="178"/>
      <c r="D7" s="178"/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75"/>
      <c r="Q7" s="75"/>
      <c r="R7" s="75"/>
      <c r="S7" s="75"/>
    </row>
    <row r="8" spans="1:19" s="59" customFormat="1" ht="38.25" x14ac:dyDescent="0.25">
      <c r="A8" s="54">
        <v>67</v>
      </c>
      <c r="B8" s="55" t="s">
        <v>112</v>
      </c>
      <c r="C8" s="79">
        <v>100</v>
      </c>
      <c r="D8" s="56">
        <v>1.4</v>
      </c>
      <c r="E8" s="56">
        <v>10.039999999999999</v>
      </c>
      <c r="F8" s="56">
        <v>7.29</v>
      </c>
      <c r="G8" s="56">
        <f>125.1</f>
        <v>125.1</v>
      </c>
      <c r="H8" s="56">
        <f>0.44/10</f>
        <v>4.3999999999999997E-2</v>
      </c>
      <c r="I8" s="56">
        <v>9.6300000000000008</v>
      </c>
      <c r="J8" s="56"/>
      <c r="K8" s="56">
        <v>4.5</v>
      </c>
      <c r="L8" s="56">
        <v>31.23</v>
      </c>
      <c r="M8" s="56">
        <v>43.27</v>
      </c>
      <c r="N8" s="56">
        <v>19.53</v>
      </c>
      <c r="O8" s="83">
        <v>0.83</v>
      </c>
      <c r="P8" s="84"/>
      <c r="Q8" s="84"/>
      <c r="R8" s="84"/>
      <c r="S8" s="84"/>
    </row>
    <row r="9" spans="1:19" ht="25.5" x14ac:dyDescent="0.25">
      <c r="A9" s="60">
        <v>82</v>
      </c>
      <c r="B9" s="61" t="s">
        <v>111</v>
      </c>
      <c r="C9" s="81">
        <v>250</v>
      </c>
      <c r="D9" s="58">
        <f>(7.21/4)+0.8</f>
        <v>2.6025</v>
      </c>
      <c r="E9" s="58">
        <f>(19.68/4)+0.2</f>
        <v>5.12</v>
      </c>
      <c r="F9" s="58">
        <f>43.73/4</f>
        <v>10.932499999999999</v>
      </c>
      <c r="G9" s="58">
        <f>(415/4)+5+30</f>
        <v>138.75</v>
      </c>
      <c r="H9" s="58">
        <f>0.2/4</f>
        <v>0.05</v>
      </c>
      <c r="I9" s="58">
        <f>42.7/4</f>
        <v>10.675000000000001</v>
      </c>
      <c r="J9" s="58"/>
      <c r="K9" s="58">
        <f>9.6/4</f>
        <v>2.4</v>
      </c>
      <c r="L9" s="58">
        <f>(198.9/4)+2</f>
        <v>51.725000000000001</v>
      </c>
      <c r="M9" s="58">
        <f>218.4/4</f>
        <v>54.6</v>
      </c>
      <c r="N9" s="58">
        <f>104.5/4</f>
        <v>26.125</v>
      </c>
      <c r="O9" s="58">
        <f>4.9/4</f>
        <v>1.2250000000000001</v>
      </c>
    </row>
    <row r="10" spans="1:19" s="59" customFormat="1" ht="25.5" x14ac:dyDescent="0.25">
      <c r="A10" s="54">
        <v>229</v>
      </c>
      <c r="B10" s="55" t="s">
        <v>68</v>
      </c>
      <c r="C10" s="79">
        <v>100</v>
      </c>
      <c r="D10" s="56">
        <v>9.75</v>
      </c>
      <c r="E10" s="56">
        <v>4.95</v>
      </c>
      <c r="F10" s="56">
        <v>3.8</v>
      </c>
      <c r="G10" s="56">
        <v>105</v>
      </c>
      <c r="H10" s="56">
        <v>0.05</v>
      </c>
      <c r="I10" s="56">
        <v>3.73</v>
      </c>
      <c r="J10" s="56">
        <v>5.82</v>
      </c>
      <c r="K10" s="56">
        <v>2.52</v>
      </c>
      <c r="L10" s="56">
        <v>39.07</v>
      </c>
      <c r="M10" s="56">
        <v>162.19</v>
      </c>
      <c r="N10" s="56">
        <v>48.53</v>
      </c>
      <c r="O10" s="56">
        <v>0.85</v>
      </c>
    </row>
    <row r="11" spans="1:19" x14ac:dyDescent="0.25">
      <c r="A11" s="57">
        <v>312</v>
      </c>
      <c r="B11" s="55" t="s">
        <v>13</v>
      </c>
      <c r="C11" s="80">
        <v>150</v>
      </c>
      <c r="D11" s="58">
        <f>20.473/100*15</f>
        <v>3.0709499999999998</v>
      </c>
      <c r="E11" s="58">
        <f>32.01/100/15</f>
        <v>2.1340000000000001E-2</v>
      </c>
      <c r="F11" s="58">
        <f>136.26/100*15</f>
        <v>20.438999999999997</v>
      </c>
      <c r="G11" s="58">
        <f>915/100*15</f>
        <v>137.25</v>
      </c>
      <c r="H11" s="58">
        <f>0.93/100*15</f>
        <v>0.13950000000000001</v>
      </c>
      <c r="I11" s="58">
        <f>121.07/100*15</f>
        <v>18.160499999999999</v>
      </c>
      <c r="J11" s="58"/>
      <c r="K11" s="58">
        <f>1.21/100*15</f>
        <v>0.18149999999999999</v>
      </c>
      <c r="L11" s="58">
        <f>246.5/100*15</f>
        <v>36.974999999999994</v>
      </c>
      <c r="M11" s="58">
        <f>577.3/100*15</f>
        <v>86.594999999999999</v>
      </c>
      <c r="N11" s="58">
        <f>185/100*15</f>
        <v>27.75</v>
      </c>
      <c r="O11" s="58">
        <f>6.73/100*15</f>
        <v>1.0095000000000001</v>
      </c>
    </row>
    <row r="12" spans="1:19" s="13" customFormat="1" x14ac:dyDescent="0.25">
      <c r="A12" s="91">
        <v>389</v>
      </c>
      <c r="B12" s="9" t="s">
        <v>125</v>
      </c>
      <c r="C12" s="88">
        <v>200</v>
      </c>
      <c r="D12" s="89">
        <f>1</f>
        <v>1</v>
      </c>
      <c r="E12" s="88">
        <v>0</v>
      </c>
      <c r="F12" s="89">
        <f>101/5</f>
        <v>20.2</v>
      </c>
      <c r="G12" s="88">
        <f>424/5</f>
        <v>84.8</v>
      </c>
      <c r="H12" s="89">
        <f>0.11/5</f>
        <v>2.1999999999999999E-2</v>
      </c>
      <c r="I12" s="88">
        <f>30/5</f>
        <v>6</v>
      </c>
      <c r="J12" s="89">
        <v>0</v>
      </c>
      <c r="K12" s="88">
        <f>1/5</f>
        <v>0.2</v>
      </c>
      <c r="L12" s="89">
        <f>70/5</f>
        <v>14</v>
      </c>
      <c r="M12" s="88">
        <f>70/5</f>
        <v>14</v>
      </c>
      <c r="N12" s="89">
        <f>40/5</f>
        <v>8</v>
      </c>
      <c r="O12" s="90">
        <f>14/5</f>
        <v>2.8</v>
      </c>
    </row>
    <row r="13" spans="1:19" s="26" customFormat="1" ht="12.75" x14ac:dyDescent="0.2">
      <c r="A13" s="42"/>
      <c r="B13" s="9" t="s">
        <v>14</v>
      </c>
      <c r="C13" s="92">
        <v>40</v>
      </c>
      <c r="D13" s="15">
        <v>2.2400000000000002</v>
      </c>
      <c r="E13" s="15">
        <v>0.88</v>
      </c>
      <c r="F13" s="15">
        <v>19.760000000000002</v>
      </c>
      <c r="G13" s="15">
        <v>91.96</v>
      </c>
      <c r="H13" s="15">
        <v>0.04</v>
      </c>
      <c r="I13" s="15"/>
      <c r="J13" s="15"/>
      <c r="K13" s="15">
        <v>0.36</v>
      </c>
      <c r="L13" s="15">
        <v>9.1999999999999993</v>
      </c>
      <c r="M13" s="15">
        <v>42.4</v>
      </c>
      <c r="N13" s="15">
        <v>10</v>
      </c>
      <c r="O13" s="15">
        <v>1.24</v>
      </c>
    </row>
    <row r="14" spans="1:19" s="13" customFormat="1" x14ac:dyDescent="0.25">
      <c r="A14" s="42"/>
      <c r="B14" s="9" t="s">
        <v>76</v>
      </c>
      <c r="C14" s="92">
        <v>40</v>
      </c>
      <c r="D14" s="15">
        <v>3.16</v>
      </c>
      <c r="E14" s="15">
        <v>0.4</v>
      </c>
      <c r="F14" s="15">
        <v>19.32</v>
      </c>
      <c r="G14" s="15">
        <v>93.52</v>
      </c>
      <c r="H14" s="15">
        <v>0.04</v>
      </c>
      <c r="I14" s="15"/>
      <c r="J14" s="15"/>
      <c r="K14" s="15">
        <v>0.52</v>
      </c>
      <c r="L14" s="15">
        <v>9.1999999999999993</v>
      </c>
      <c r="M14" s="15">
        <v>34.799999999999997</v>
      </c>
      <c r="N14" s="15">
        <v>13.2</v>
      </c>
      <c r="O14" s="15">
        <v>0.44</v>
      </c>
    </row>
    <row r="15" spans="1:19" s="59" customFormat="1" x14ac:dyDescent="0.25">
      <c r="A15" s="97" t="s">
        <v>11</v>
      </c>
      <c r="B15" s="98"/>
      <c r="C15" s="99"/>
      <c r="D15" s="100">
        <f>SUM(D8:D14)</f>
        <v>23.223450000000003</v>
      </c>
      <c r="E15" s="100">
        <f t="shared" ref="E15:F15" si="0">SUM(E8:E14)</f>
        <v>21.411339999999996</v>
      </c>
      <c r="F15" s="100">
        <f t="shared" si="0"/>
        <v>101.7415</v>
      </c>
      <c r="G15" s="100">
        <f>SUM(G8:G14)</f>
        <v>776.38</v>
      </c>
      <c r="H15" s="101"/>
      <c r="I15" s="101"/>
      <c r="J15" s="101"/>
      <c r="K15" s="101"/>
      <c r="L15" s="101"/>
      <c r="M15" s="101"/>
      <c r="N15" s="101"/>
      <c r="O15" s="101"/>
    </row>
    <row r="16" spans="1:19" ht="15.75" thickBot="1" x14ac:dyDescent="0.3"/>
    <row r="17" spans="1:11" ht="39" thickBot="1" x14ac:dyDescent="0.3">
      <c r="B17" s="169" t="s">
        <v>58</v>
      </c>
      <c r="C17" s="170"/>
      <c r="D17" s="170"/>
      <c r="E17" s="170"/>
      <c r="F17" s="173" t="s">
        <v>59</v>
      </c>
      <c r="G17" s="174"/>
      <c r="H17" s="175"/>
      <c r="I17" s="62" t="s">
        <v>60</v>
      </c>
    </row>
    <row r="18" spans="1:11" ht="15.75" thickBot="1" x14ac:dyDescent="0.3">
      <c r="B18" s="171"/>
      <c r="C18" s="172"/>
      <c r="D18" s="172"/>
      <c r="E18" s="172"/>
      <c r="F18" s="63" t="s">
        <v>1</v>
      </c>
      <c r="G18" s="63" t="s">
        <v>2</v>
      </c>
      <c r="H18" s="63" t="s">
        <v>3</v>
      </c>
      <c r="I18" s="64"/>
    </row>
    <row r="19" spans="1:11" ht="15.75" thickBot="1" x14ac:dyDescent="0.3">
      <c r="B19" s="176" t="s">
        <v>62</v>
      </c>
      <c r="C19" s="177"/>
      <c r="D19" s="177"/>
      <c r="E19" s="177"/>
      <c r="F19" s="63" t="s">
        <v>63</v>
      </c>
      <c r="G19" s="63" t="s">
        <v>64</v>
      </c>
      <c r="H19" s="63" t="s">
        <v>65</v>
      </c>
      <c r="I19" s="63" t="s">
        <v>66</v>
      </c>
    </row>
    <row r="20" spans="1:11" ht="15.75" thickBot="1" x14ac:dyDescent="0.3">
      <c r="B20" s="176" t="s">
        <v>61</v>
      </c>
      <c r="C20" s="177"/>
      <c r="D20" s="177"/>
      <c r="E20" s="177"/>
      <c r="F20" s="65">
        <f>D15</f>
        <v>23.223450000000003</v>
      </c>
      <c r="G20" s="65">
        <f>E15</f>
        <v>21.411339999999996</v>
      </c>
      <c r="H20" s="65">
        <f>F15</f>
        <v>101.7415</v>
      </c>
      <c r="I20" s="65">
        <f>G15</f>
        <v>776.38</v>
      </c>
    </row>
    <row r="22" spans="1:11" ht="40.5" customHeight="1" x14ac:dyDescent="0.25">
      <c r="A22" s="75"/>
      <c r="B22" s="152" t="s">
        <v>109</v>
      </c>
      <c r="C22" s="152"/>
      <c r="D22" s="152"/>
      <c r="E22" s="152"/>
      <c r="F22" s="152"/>
      <c r="G22" s="152"/>
      <c r="H22" s="152"/>
      <c r="J22" s="50" t="s">
        <v>40</v>
      </c>
      <c r="K22" s="51" t="s">
        <v>48</v>
      </c>
    </row>
    <row r="23" spans="1:11" ht="23.25" customHeight="1" x14ac:dyDescent="0.25">
      <c r="A23" s="75"/>
      <c r="B23" s="67" t="s">
        <v>71</v>
      </c>
      <c r="C23" s="147" t="s">
        <v>72</v>
      </c>
      <c r="D23" s="147"/>
      <c r="E23" s="147"/>
      <c r="F23" s="147"/>
      <c r="G23" s="153" t="s">
        <v>123</v>
      </c>
      <c r="H23" s="154"/>
      <c r="J23" s="50" t="s">
        <v>42</v>
      </c>
      <c r="K23" s="51" t="s">
        <v>43</v>
      </c>
    </row>
    <row r="24" spans="1:11" ht="30" x14ac:dyDescent="0.25">
      <c r="A24" s="75"/>
      <c r="B24" s="150"/>
      <c r="C24" s="148" t="s">
        <v>73</v>
      </c>
      <c r="D24" s="149"/>
      <c r="E24" s="148" t="s">
        <v>74</v>
      </c>
      <c r="F24" s="149"/>
      <c r="G24" s="67" t="s">
        <v>73</v>
      </c>
      <c r="H24" s="67" t="s">
        <v>74</v>
      </c>
      <c r="J24" s="50" t="s">
        <v>44</v>
      </c>
      <c r="K24" s="51" t="s">
        <v>45</v>
      </c>
    </row>
    <row r="25" spans="1:11" ht="24.75" customHeight="1" x14ac:dyDescent="0.25">
      <c r="A25" s="75"/>
      <c r="B25" s="151"/>
      <c r="C25" s="148" t="s">
        <v>47</v>
      </c>
      <c r="D25" s="149"/>
      <c r="E25" s="148" t="s">
        <v>47</v>
      </c>
      <c r="F25" s="149"/>
      <c r="G25" s="67" t="s">
        <v>47</v>
      </c>
      <c r="H25" s="67" t="s">
        <v>47</v>
      </c>
      <c r="J25" s="50" t="s">
        <v>46</v>
      </c>
      <c r="K25" s="51" t="s">
        <v>47</v>
      </c>
    </row>
    <row r="26" spans="1:11" ht="25.5" x14ac:dyDescent="0.25">
      <c r="A26" s="75"/>
      <c r="B26" s="68" t="s">
        <v>75</v>
      </c>
      <c r="C26" s="155">
        <v>80</v>
      </c>
      <c r="D26" s="156"/>
      <c r="E26" s="155">
        <v>80</v>
      </c>
      <c r="F26" s="156"/>
      <c r="G26" s="69">
        <v>40</v>
      </c>
      <c r="H26" s="69">
        <v>40</v>
      </c>
    </row>
    <row r="27" spans="1:11" x14ac:dyDescent="0.25">
      <c r="A27" s="75"/>
      <c r="B27" s="68" t="s">
        <v>76</v>
      </c>
      <c r="C27" s="155">
        <v>150</v>
      </c>
      <c r="D27" s="156"/>
      <c r="E27" s="155">
        <v>150</v>
      </c>
      <c r="F27" s="156"/>
      <c r="G27" s="69">
        <v>40</v>
      </c>
      <c r="H27" s="69">
        <v>40</v>
      </c>
    </row>
    <row r="28" spans="1:11" x14ac:dyDescent="0.25">
      <c r="A28" s="75"/>
      <c r="B28" s="68" t="s">
        <v>77</v>
      </c>
      <c r="C28" s="155">
        <v>15</v>
      </c>
      <c r="D28" s="156"/>
      <c r="E28" s="155">
        <v>15</v>
      </c>
      <c r="F28" s="156"/>
      <c r="G28" s="69">
        <f>78+11.5</f>
        <v>89.5</v>
      </c>
      <c r="H28" s="69">
        <f>78+11.5</f>
        <v>89.5</v>
      </c>
    </row>
    <row r="29" spans="1:11" x14ac:dyDescent="0.25">
      <c r="A29" s="75"/>
      <c r="B29" s="70" t="s">
        <v>78</v>
      </c>
      <c r="C29" s="157">
        <v>45</v>
      </c>
      <c r="D29" s="158"/>
      <c r="E29" s="157">
        <v>45</v>
      </c>
      <c r="F29" s="158"/>
      <c r="G29" s="71"/>
      <c r="H29" s="71"/>
    </row>
    <row r="30" spans="1:11" x14ac:dyDescent="0.25">
      <c r="A30" s="75"/>
      <c r="B30" s="68" t="s">
        <v>79</v>
      </c>
      <c r="C30" s="155">
        <v>15</v>
      </c>
      <c r="D30" s="156"/>
      <c r="E30" s="155">
        <v>15</v>
      </c>
      <c r="F30" s="156"/>
      <c r="G30" s="69"/>
      <c r="H30" s="69"/>
    </row>
    <row r="31" spans="1:11" x14ac:dyDescent="0.25">
      <c r="A31" s="75"/>
      <c r="B31" s="68" t="s">
        <v>80</v>
      </c>
      <c r="C31" s="155" t="s">
        <v>81</v>
      </c>
      <c r="D31" s="156"/>
      <c r="E31" s="159">
        <v>188</v>
      </c>
      <c r="F31" s="160"/>
      <c r="G31" s="69">
        <f>171+27+28.9</f>
        <v>226.9</v>
      </c>
      <c r="H31" s="69">
        <f>20+21+129</f>
        <v>170</v>
      </c>
    </row>
    <row r="32" spans="1:11" x14ac:dyDescent="0.25">
      <c r="A32" s="75"/>
      <c r="B32" s="68" t="s">
        <v>82</v>
      </c>
      <c r="C32" s="155">
        <v>350</v>
      </c>
      <c r="D32" s="156"/>
      <c r="E32" s="155" t="s">
        <v>83</v>
      </c>
      <c r="F32" s="156"/>
      <c r="G32" s="69">
        <f>50+25+12.5+3.25+12+7.5+19.1+12.6+18.8+21.4+18.8+23+4+2+10+10</f>
        <v>249.95000000000002</v>
      </c>
      <c r="H32" s="87">
        <f>40+20+10+2.5+10+7.5+15+10+15+15+15+18+3+1+8+10</f>
        <v>200</v>
      </c>
    </row>
    <row r="33" spans="1:8" x14ac:dyDescent="0.25">
      <c r="A33" s="75"/>
      <c r="B33" s="68" t="s">
        <v>84</v>
      </c>
      <c r="C33" s="155">
        <v>200</v>
      </c>
      <c r="D33" s="156"/>
      <c r="E33" s="155" t="s">
        <v>85</v>
      </c>
      <c r="F33" s="156"/>
      <c r="G33" s="69"/>
      <c r="H33" s="69"/>
    </row>
    <row r="34" spans="1:8" ht="25.5" x14ac:dyDescent="0.25">
      <c r="A34" s="75"/>
      <c r="B34" s="68" t="s">
        <v>86</v>
      </c>
      <c r="C34" s="155">
        <v>15</v>
      </c>
      <c r="D34" s="156"/>
      <c r="E34" s="155">
        <v>15</v>
      </c>
      <c r="F34" s="156"/>
      <c r="G34" s="69"/>
      <c r="H34" s="69"/>
    </row>
    <row r="35" spans="1:8" ht="38.25" x14ac:dyDescent="0.25">
      <c r="A35" s="75"/>
      <c r="B35" s="68" t="s">
        <v>87</v>
      </c>
      <c r="C35" s="155">
        <v>200</v>
      </c>
      <c r="D35" s="156"/>
      <c r="E35" s="155">
        <v>200</v>
      </c>
      <c r="F35" s="156"/>
      <c r="G35" s="69">
        <v>200</v>
      </c>
      <c r="H35" s="69">
        <v>200</v>
      </c>
    </row>
    <row r="36" spans="1:8" ht="25.5" x14ac:dyDescent="0.25">
      <c r="A36" s="75"/>
      <c r="B36" s="68" t="s">
        <v>88</v>
      </c>
      <c r="C36" s="155" t="s">
        <v>89</v>
      </c>
      <c r="D36" s="156"/>
      <c r="E36" s="155">
        <v>70</v>
      </c>
      <c r="F36" s="156"/>
      <c r="G36" s="69">
        <v>40</v>
      </c>
      <c r="H36" s="69">
        <v>25</v>
      </c>
    </row>
    <row r="37" spans="1:8" ht="25.5" x14ac:dyDescent="0.25">
      <c r="A37" s="75"/>
      <c r="B37" s="68" t="s">
        <v>90</v>
      </c>
      <c r="C37" s="155" t="s">
        <v>91</v>
      </c>
      <c r="D37" s="156"/>
      <c r="E37" s="155">
        <v>35</v>
      </c>
      <c r="F37" s="156"/>
      <c r="G37" s="69"/>
      <c r="H37" s="69"/>
    </row>
    <row r="38" spans="1:8" x14ac:dyDescent="0.25">
      <c r="A38" s="75"/>
      <c r="B38" s="68" t="s">
        <v>92</v>
      </c>
      <c r="C38" s="155">
        <v>60</v>
      </c>
      <c r="D38" s="156"/>
      <c r="E38" s="155">
        <v>58</v>
      </c>
      <c r="F38" s="156"/>
      <c r="G38" s="69">
        <v>123</v>
      </c>
      <c r="H38" s="69">
        <v>61</v>
      </c>
    </row>
    <row r="39" spans="1:8" x14ac:dyDescent="0.25">
      <c r="A39" s="75"/>
      <c r="B39" s="68" t="s">
        <v>93</v>
      </c>
      <c r="C39" s="155">
        <v>15</v>
      </c>
      <c r="D39" s="156"/>
      <c r="E39" s="155">
        <v>14.7</v>
      </c>
      <c r="F39" s="156"/>
      <c r="G39" s="69"/>
      <c r="H39" s="69"/>
    </row>
    <row r="40" spans="1:8" ht="25.5" x14ac:dyDescent="0.25">
      <c r="A40" s="75"/>
      <c r="B40" s="68" t="s">
        <v>94</v>
      </c>
      <c r="C40" s="155">
        <v>300</v>
      </c>
      <c r="D40" s="156"/>
      <c r="E40" s="155">
        <v>300</v>
      </c>
      <c r="F40" s="156"/>
      <c r="G40" s="69"/>
      <c r="H40" s="69"/>
    </row>
    <row r="41" spans="1:8" ht="25.5" x14ac:dyDescent="0.25">
      <c r="A41" s="75"/>
      <c r="B41" s="68" t="s">
        <v>95</v>
      </c>
      <c r="C41" s="155">
        <v>150</v>
      </c>
      <c r="D41" s="156"/>
      <c r="E41" s="155">
        <v>150</v>
      </c>
      <c r="F41" s="156"/>
      <c r="G41" s="69"/>
      <c r="H41" s="69"/>
    </row>
    <row r="42" spans="1:8" ht="25.5" x14ac:dyDescent="0.25">
      <c r="A42" s="75"/>
      <c r="B42" s="68" t="s">
        <v>96</v>
      </c>
      <c r="C42" s="155">
        <v>50</v>
      </c>
      <c r="D42" s="156"/>
      <c r="E42" s="155">
        <v>50</v>
      </c>
      <c r="F42" s="156"/>
      <c r="G42" s="69"/>
      <c r="H42" s="69"/>
    </row>
    <row r="43" spans="1:8" x14ac:dyDescent="0.25">
      <c r="A43" s="75"/>
      <c r="B43" s="68" t="s">
        <v>97</v>
      </c>
      <c r="C43" s="155">
        <v>10</v>
      </c>
      <c r="D43" s="156"/>
      <c r="E43" s="155">
        <v>9.8000000000000007</v>
      </c>
      <c r="F43" s="156"/>
      <c r="G43" s="69"/>
      <c r="H43" s="87"/>
    </row>
    <row r="44" spans="1:8" ht="25.5" x14ac:dyDescent="0.25">
      <c r="A44" s="75"/>
      <c r="B44" s="68" t="s">
        <v>98</v>
      </c>
      <c r="C44" s="155">
        <v>10</v>
      </c>
      <c r="D44" s="156"/>
      <c r="E44" s="155">
        <v>10</v>
      </c>
      <c r="F44" s="156"/>
      <c r="G44" s="74"/>
      <c r="H44" s="74"/>
    </row>
    <row r="45" spans="1:8" x14ac:dyDescent="0.25">
      <c r="A45" s="75"/>
      <c r="B45" s="68" t="s">
        <v>99</v>
      </c>
      <c r="C45" s="155">
        <v>30</v>
      </c>
      <c r="D45" s="156"/>
      <c r="E45" s="155">
        <v>30</v>
      </c>
      <c r="F45" s="156"/>
      <c r="G45" s="69"/>
      <c r="H45" s="69"/>
    </row>
    <row r="46" spans="1:8" x14ac:dyDescent="0.25">
      <c r="A46" s="75"/>
      <c r="B46" s="68" t="s">
        <v>100</v>
      </c>
      <c r="C46" s="155">
        <v>15</v>
      </c>
      <c r="D46" s="156"/>
      <c r="E46" s="155">
        <v>15</v>
      </c>
      <c r="F46" s="156"/>
      <c r="G46" s="87">
        <f>9+5+10</f>
        <v>24</v>
      </c>
      <c r="H46" s="69">
        <v>24</v>
      </c>
    </row>
    <row r="47" spans="1:8" x14ac:dyDescent="0.25">
      <c r="A47" s="75"/>
      <c r="B47" s="68" t="s">
        <v>101</v>
      </c>
      <c r="C47" s="155" t="s">
        <v>102</v>
      </c>
      <c r="D47" s="156"/>
      <c r="E47" s="155">
        <v>40</v>
      </c>
      <c r="F47" s="156"/>
      <c r="G47" s="69"/>
      <c r="H47" s="69"/>
    </row>
    <row r="48" spans="1:8" x14ac:dyDescent="0.25">
      <c r="A48" s="75"/>
      <c r="B48" s="68" t="s">
        <v>103</v>
      </c>
      <c r="C48" s="155">
        <v>40</v>
      </c>
      <c r="D48" s="156"/>
      <c r="E48" s="159">
        <v>40</v>
      </c>
      <c r="F48" s="160"/>
      <c r="G48" s="69">
        <f>2.75+6+2+1</f>
        <v>11.75</v>
      </c>
      <c r="H48" s="69">
        <v>11.75</v>
      </c>
    </row>
    <row r="49" spans="1:8" x14ac:dyDescent="0.25">
      <c r="A49" s="75"/>
      <c r="B49" s="68" t="s">
        <v>104</v>
      </c>
      <c r="C49" s="159">
        <v>10</v>
      </c>
      <c r="D49" s="160"/>
      <c r="E49" s="155">
        <v>10</v>
      </c>
      <c r="F49" s="156"/>
      <c r="G49" s="69"/>
      <c r="H49" s="69"/>
    </row>
    <row r="50" spans="1:8" x14ac:dyDescent="0.25">
      <c r="A50" s="75"/>
      <c r="B50" s="68" t="s">
        <v>105</v>
      </c>
      <c r="C50" s="155">
        <v>0.4</v>
      </c>
      <c r="D50" s="156"/>
      <c r="E50" s="155">
        <v>0.4</v>
      </c>
      <c r="F50" s="156"/>
      <c r="G50" s="69"/>
      <c r="H50" s="69"/>
    </row>
    <row r="51" spans="1:8" x14ac:dyDescent="0.25">
      <c r="A51" s="75"/>
      <c r="B51" s="68" t="s">
        <v>106</v>
      </c>
      <c r="C51" s="155">
        <v>1.2</v>
      </c>
      <c r="D51" s="156"/>
      <c r="E51" s="155">
        <v>1.2</v>
      </c>
      <c r="F51" s="156"/>
      <c r="G51" s="69"/>
      <c r="H51" s="69"/>
    </row>
    <row r="52" spans="1:8" x14ac:dyDescent="0.25">
      <c r="A52" s="75"/>
      <c r="B52" s="68" t="s">
        <v>107</v>
      </c>
      <c r="C52" s="155">
        <v>1</v>
      </c>
      <c r="D52" s="156"/>
      <c r="E52" s="155">
        <v>1</v>
      </c>
      <c r="F52" s="156"/>
      <c r="G52" s="69"/>
      <c r="H52" s="69"/>
    </row>
    <row r="53" spans="1:8" x14ac:dyDescent="0.25">
      <c r="A53" s="75"/>
      <c r="B53" s="68" t="s">
        <v>108</v>
      </c>
      <c r="C53" s="155">
        <v>5</v>
      </c>
      <c r="D53" s="156"/>
      <c r="E53" s="155">
        <v>5</v>
      </c>
      <c r="F53" s="156"/>
      <c r="G53" s="69">
        <f>1.5+0.8+1</f>
        <v>3.3</v>
      </c>
      <c r="H53" s="69">
        <v>3.3</v>
      </c>
    </row>
    <row r="54" spans="1:8" x14ac:dyDescent="0.25">
      <c r="A54" s="75"/>
      <c r="B54" s="75"/>
      <c r="C54" s="82"/>
      <c r="D54" s="75"/>
      <c r="E54" s="75"/>
      <c r="F54" s="75"/>
      <c r="G54" s="76"/>
      <c r="H54" s="75"/>
    </row>
    <row r="55" spans="1:8" x14ac:dyDescent="0.25">
      <c r="A55" s="75"/>
      <c r="B55" s="75"/>
      <c r="C55" s="82"/>
      <c r="D55" s="75"/>
      <c r="E55" s="75"/>
      <c r="F55" s="75"/>
      <c r="G55" s="75"/>
      <c r="H55" s="75"/>
    </row>
    <row r="56" spans="1:8" x14ac:dyDescent="0.25">
      <c r="A56" s="75"/>
      <c r="B56" s="75"/>
      <c r="C56" s="82"/>
      <c r="D56" s="75"/>
      <c r="E56" s="75"/>
      <c r="F56" s="75"/>
      <c r="G56" s="75"/>
      <c r="H56" s="75"/>
    </row>
    <row r="57" spans="1:8" x14ac:dyDescent="0.25">
      <c r="A57" s="75"/>
      <c r="B57" s="75"/>
      <c r="C57" s="82"/>
      <c r="D57" s="75"/>
      <c r="E57" s="75"/>
      <c r="F57" s="75"/>
      <c r="G57" s="75"/>
      <c r="H57" s="75"/>
    </row>
    <row r="58" spans="1:8" x14ac:dyDescent="0.25">
      <c r="A58" s="75"/>
      <c r="B58" s="75"/>
      <c r="C58" s="82"/>
      <c r="D58" s="75"/>
      <c r="E58" s="75"/>
      <c r="F58" s="75"/>
      <c r="G58" s="75"/>
      <c r="H58" s="75"/>
    </row>
    <row r="59" spans="1:8" x14ac:dyDescent="0.25">
      <c r="A59" s="75"/>
      <c r="B59" s="75"/>
      <c r="C59" s="82"/>
      <c r="D59" s="75"/>
      <c r="E59" s="75"/>
      <c r="F59" s="75"/>
      <c r="G59" s="75"/>
      <c r="H59" s="75"/>
    </row>
  </sheetData>
  <sheetProtection formatCells="0" formatColumns="0" formatRows="0" insertColumns="0" insertRows="0" insertHyperlinks="0" deleteColumns="0" deleteRows="0" sort="0" autoFilter="0" pivotTables="0"/>
  <mergeCells count="76">
    <mergeCell ref="E26:F26"/>
    <mergeCell ref="E31:F31"/>
    <mergeCell ref="E30:F30"/>
    <mergeCell ref="E29:F29"/>
    <mergeCell ref="E28:F28"/>
    <mergeCell ref="E27:F27"/>
    <mergeCell ref="E36:F36"/>
    <mergeCell ref="E35:F35"/>
    <mergeCell ref="E34:F34"/>
    <mergeCell ref="E33:F33"/>
    <mergeCell ref="E32:F32"/>
    <mergeCell ref="E41:F41"/>
    <mergeCell ref="E40:F40"/>
    <mergeCell ref="E39:F39"/>
    <mergeCell ref="E38:F38"/>
    <mergeCell ref="E37:F37"/>
    <mergeCell ref="E44:F44"/>
    <mergeCell ref="E45:F45"/>
    <mergeCell ref="E42:F42"/>
    <mergeCell ref="E43:F43"/>
    <mergeCell ref="E47:F47"/>
    <mergeCell ref="E46:F46"/>
    <mergeCell ref="E50:F50"/>
    <mergeCell ref="E49:F49"/>
    <mergeCell ref="E48:F48"/>
    <mergeCell ref="C51:D51"/>
    <mergeCell ref="C53:D53"/>
    <mergeCell ref="C52:D52"/>
    <mergeCell ref="E53:F53"/>
    <mergeCell ref="E52:F52"/>
    <mergeCell ref="E51:F51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30:D30"/>
    <mergeCell ref="C29:D29"/>
    <mergeCell ref="B22:H22"/>
    <mergeCell ref="C23:F23"/>
    <mergeCell ref="B24:B25"/>
    <mergeCell ref="C24:D24"/>
    <mergeCell ref="E24:F24"/>
    <mergeCell ref="G23:H23"/>
    <mergeCell ref="C25:D25"/>
    <mergeCell ref="E25:F25"/>
    <mergeCell ref="B17:E18"/>
    <mergeCell ref="F17:H17"/>
    <mergeCell ref="B19:E19"/>
    <mergeCell ref="B20:E20"/>
    <mergeCell ref="A7:O7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5" fitToWidth="2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A55"/>
  <sheetViews>
    <sheetView view="pageBreakPreview" topLeftCell="A28" zoomScale="90" zoomScaleNormal="90" zoomScaleSheetLayoutView="90" workbookViewId="0">
      <selection activeCell="L51" sqref="L51"/>
    </sheetView>
  </sheetViews>
  <sheetFormatPr defaultRowHeight="15" x14ac:dyDescent="0.25"/>
  <cols>
    <col min="1" max="1" width="14" style="13" bestFit="1" customWidth="1"/>
    <col min="2" max="2" width="32.7109375" style="13" customWidth="1"/>
    <col min="3" max="6" width="9.140625" style="13"/>
    <col min="7" max="7" width="11.85546875" style="13" customWidth="1"/>
    <col min="8" max="8" width="10" style="13" bestFit="1" customWidth="1"/>
    <col min="9" max="9" width="10.5703125" style="13" bestFit="1" customWidth="1"/>
    <col min="10" max="16384" width="9.140625" style="13"/>
  </cols>
  <sheetData>
    <row r="1" spans="1:27" ht="15.75" x14ac:dyDescent="0.25">
      <c r="A1" s="109" t="s">
        <v>40</v>
      </c>
      <c r="B1" s="110" t="s">
        <v>49</v>
      </c>
    </row>
    <row r="2" spans="1:27" ht="15.75" x14ac:dyDescent="0.25">
      <c r="A2" s="109" t="s">
        <v>42</v>
      </c>
      <c r="B2" s="110" t="s">
        <v>43</v>
      </c>
    </row>
    <row r="3" spans="1:27" ht="15.75" x14ac:dyDescent="0.25">
      <c r="A3" s="109" t="s">
        <v>44</v>
      </c>
      <c r="B3" s="110" t="s">
        <v>45</v>
      </c>
    </row>
    <row r="4" spans="1:27" ht="31.5" x14ac:dyDescent="0.25">
      <c r="A4" s="109" t="s">
        <v>46</v>
      </c>
      <c r="B4" s="110" t="s">
        <v>47</v>
      </c>
    </row>
    <row r="5" spans="1:27" ht="15.75" x14ac:dyDescent="0.25">
      <c r="A5" s="185" t="s">
        <v>29</v>
      </c>
      <c r="B5" s="185" t="s">
        <v>19</v>
      </c>
      <c r="C5" s="185" t="s">
        <v>21</v>
      </c>
      <c r="D5" s="182" t="s">
        <v>32</v>
      </c>
      <c r="E5" s="183"/>
      <c r="F5" s="184"/>
      <c r="G5" s="185" t="s">
        <v>0</v>
      </c>
      <c r="H5" s="182" t="s">
        <v>31</v>
      </c>
      <c r="I5" s="183"/>
      <c r="J5" s="183"/>
      <c r="K5" s="184"/>
      <c r="L5" s="182" t="s">
        <v>30</v>
      </c>
      <c r="M5" s="183"/>
      <c r="N5" s="183"/>
      <c r="O5" s="184"/>
    </row>
    <row r="6" spans="1:27" ht="15.75" x14ac:dyDescent="0.25">
      <c r="A6" s="186"/>
      <c r="B6" s="187"/>
      <c r="C6" s="188"/>
      <c r="D6" s="111" t="s">
        <v>1</v>
      </c>
      <c r="E6" s="111" t="s">
        <v>2</v>
      </c>
      <c r="F6" s="111" t="s">
        <v>3</v>
      </c>
      <c r="G6" s="186"/>
      <c r="H6" s="111" t="s">
        <v>18</v>
      </c>
      <c r="I6" s="111" t="s">
        <v>4</v>
      </c>
      <c r="J6" s="111" t="s">
        <v>5</v>
      </c>
      <c r="K6" s="111" t="s">
        <v>6</v>
      </c>
      <c r="L6" s="111" t="s">
        <v>7</v>
      </c>
      <c r="M6" s="111" t="s">
        <v>8</v>
      </c>
      <c r="N6" s="111" t="s">
        <v>9</v>
      </c>
      <c r="O6" s="111" t="s">
        <v>10</v>
      </c>
    </row>
    <row r="7" spans="1:27" ht="18.75" x14ac:dyDescent="0.25">
      <c r="A7" s="179" t="s">
        <v>20</v>
      </c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1"/>
    </row>
    <row r="8" spans="1:27" ht="25.5" x14ac:dyDescent="0.25">
      <c r="A8" s="107">
        <v>61</v>
      </c>
      <c r="B8" s="9" t="s">
        <v>56</v>
      </c>
      <c r="C8" s="107">
        <v>100</v>
      </c>
      <c r="D8" s="15">
        <v>1.5</v>
      </c>
      <c r="E8" s="15">
        <v>5.01</v>
      </c>
      <c r="F8" s="15">
        <v>13.02</v>
      </c>
      <c r="G8" s="15">
        <v>103.7</v>
      </c>
      <c r="H8" s="15">
        <v>0.06</v>
      </c>
      <c r="I8" s="15">
        <v>3.57</v>
      </c>
      <c r="J8" s="15"/>
      <c r="K8" s="15">
        <v>8.25</v>
      </c>
      <c r="L8" s="15">
        <v>37.92</v>
      </c>
      <c r="M8" s="15">
        <v>56.22</v>
      </c>
      <c r="N8" s="15">
        <v>39.1</v>
      </c>
      <c r="O8" s="15">
        <v>1.06</v>
      </c>
    </row>
    <row r="9" spans="1:27" s="27" customFormat="1" ht="25.5" customHeight="1" x14ac:dyDescent="0.2">
      <c r="A9" s="107">
        <v>112</v>
      </c>
      <c r="B9" s="9" t="s">
        <v>117</v>
      </c>
      <c r="C9" s="107">
        <v>250</v>
      </c>
      <c r="D9" s="15">
        <f>10.27/4+0.8</f>
        <v>3.3674999999999997</v>
      </c>
      <c r="E9" s="15">
        <f>11.12/4+0.2</f>
        <v>2.98</v>
      </c>
      <c r="F9" s="15">
        <f>62.75/4</f>
        <v>15.6875</v>
      </c>
      <c r="G9" s="15">
        <f>436/4+5+30</f>
        <v>144</v>
      </c>
      <c r="H9" s="15">
        <f>0.37/4</f>
        <v>9.2499999999999999E-2</v>
      </c>
      <c r="I9" s="15">
        <f>24.3/4</f>
        <v>6.0750000000000002</v>
      </c>
      <c r="J9" s="15"/>
      <c r="K9" s="15">
        <f>5.8/4</f>
        <v>1.45</v>
      </c>
      <c r="L9" s="15">
        <f>118/4+2</f>
        <v>31.5</v>
      </c>
      <c r="M9" s="15">
        <f>230.9/4</f>
        <v>57.725000000000001</v>
      </c>
      <c r="N9" s="15">
        <f>95.2/4</f>
        <v>23.8</v>
      </c>
      <c r="O9" s="15">
        <f>4/4</f>
        <v>1</v>
      </c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</row>
    <row r="10" spans="1:27" ht="25.5" x14ac:dyDescent="0.25">
      <c r="A10" s="107">
        <v>295</v>
      </c>
      <c r="B10" s="9" t="s">
        <v>114</v>
      </c>
      <c r="C10" s="107">
        <v>105</v>
      </c>
      <c r="D10" s="15">
        <f>7.65*2</f>
        <v>15.3</v>
      </c>
      <c r="E10" s="15">
        <f>14.7*2</f>
        <v>29.4</v>
      </c>
      <c r="F10" s="15">
        <f>7.73*2</f>
        <v>15.46</v>
      </c>
      <c r="G10" s="15">
        <f>194*2</f>
        <v>388</v>
      </c>
      <c r="H10" s="15">
        <f>0.05*2</f>
        <v>0.1</v>
      </c>
      <c r="I10" s="15">
        <f>0.52*2</f>
        <v>1.04</v>
      </c>
      <c r="J10" s="15">
        <f>45.7*2</f>
        <v>91.4</v>
      </c>
      <c r="K10" s="15">
        <f>1.45*2</f>
        <v>2.9</v>
      </c>
      <c r="L10" s="15">
        <f>27.77*2</f>
        <v>55.54</v>
      </c>
      <c r="M10" s="15">
        <f>48.77*2</f>
        <v>97.54</v>
      </c>
      <c r="N10" s="15">
        <f>10.4*2</f>
        <v>20.8</v>
      </c>
      <c r="O10" s="15">
        <f>0.71*2</f>
        <v>1.42</v>
      </c>
    </row>
    <row r="11" spans="1:27" x14ac:dyDescent="0.25">
      <c r="A11" s="107">
        <v>139</v>
      </c>
      <c r="B11" s="9" t="s">
        <v>126</v>
      </c>
      <c r="C11" s="107">
        <v>100</v>
      </c>
      <c r="D11" s="15">
        <v>2.04</v>
      </c>
      <c r="E11" s="15">
        <v>3.68</v>
      </c>
      <c r="F11" s="15">
        <v>7.89</v>
      </c>
      <c r="G11" s="15">
        <v>77</v>
      </c>
      <c r="H11" s="15">
        <v>0.04</v>
      </c>
      <c r="I11" s="15">
        <v>17.079999999999998</v>
      </c>
      <c r="J11" s="15">
        <v>0</v>
      </c>
      <c r="K11" s="15">
        <v>1.95</v>
      </c>
      <c r="L11" s="15">
        <v>58.75</v>
      </c>
      <c r="M11" s="15">
        <v>40.69</v>
      </c>
      <c r="N11" s="15">
        <v>20.85</v>
      </c>
      <c r="O11" s="15">
        <v>0.83</v>
      </c>
    </row>
    <row r="12" spans="1:27" x14ac:dyDescent="0.25">
      <c r="A12" s="108">
        <v>389</v>
      </c>
      <c r="B12" s="9" t="s">
        <v>129</v>
      </c>
      <c r="C12" s="88">
        <v>200</v>
      </c>
      <c r="D12" s="89">
        <f>1</f>
        <v>1</v>
      </c>
      <c r="E12" s="88">
        <v>0</v>
      </c>
      <c r="F12" s="89">
        <f>101/5</f>
        <v>20.2</v>
      </c>
      <c r="G12" s="88">
        <f>424/5</f>
        <v>84.8</v>
      </c>
      <c r="H12" s="89">
        <f>0.11/5</f>
        <v>2.1999999999999999E-2</v>
      </c>
      <c r="I12" s="88">
        <f>30/5</f>
        <v>6</v>
      </c>
      <c r="J12" s="89">
        <v>0</v>
      </c>
      <c r="K12" s="88">
        <f>1/5</f>
        <v>0.2</v>
      </c>
      <c r="L12" s="89">
        <f>70/5</f>
        <v>14</v>
      </c>
      <c r="M12" s="88">
        <f>70/5</f>
        <v>14</v>
      </c>
      <c r="N12" s="89">
        <f>40/5</f>
        <v>8</v>
      </c>
      <c r="O12" s="90">
        <f>14/5</f>
        <v>2.8</v>
      </c>
    </row>
    <row r="13" spans="1:27" x14ac:dyDescent="0.25">
      <c r="A13" s="42"/>
      <c r="B13" s="9" t="s">
        <v>14</v>
      </c>
      <c r="C13" s="107">
        <v>40</v>
      </c>
      <c r="D13" s="15">
        <v>2.2400000000000002</v>
      </c>
      <c r="E13" s="15">
        <v>0.88</v>
      </c>
      <c r="F13" s="15">
        <v>19.760000000000002</v>
      </c>
      <c r="G13" s="15">
        <v>91.96</v>
      </c>
      <c r="H13" s="15">
        <v>0.04</v>
      </c>
      <c r="I13" s="15"/>
      <c r="J13" s="15"/>
      <c r="K13" s="15">
        <v>0.36</v>
      </c>
      <c r="L13" s="15">
        <v>9.1999999999999993</v>
      </c>
      <c r="M13" s="15">
        <v>42.4</v>
      </c>
      <c r="N13" s="15">
        <v>10</v>
      </c>
      <c r="O13" s="15">
        <v>1.24</v>
      </c>
    </row>
    <row r="14" spans="1:27" x14ac:dyDescent="0.25">
      <c r="A14" s="42"/>
      <c r="B14" s="9" t="s">
        <v>76</v>
      </c>
      <c r="C14" s="107">
        <v>40</v>
      </c>
      <c r="D14" s="15">
        <v>3.16</v>
      </c>
      <c r="E14" s="15">
        <v>0.4</v>
      </c>
      <c r="F14" s="15">
        <v>19.32</v>
      </c>
      <c r="G14" s="15">
        <v>93.52</v>
      </c>
      <c r="H14" s="15">
        <v>0.04</v>
      </c>
      <c r="I14" s="15"/>
      <c r="J14" s="15"/>
      <c r="K14" s="15">
        <v>0.52</v>
      </c>
      <c r="L14" s="15">
        <v>9.1999999999999993</v>
      </c>
      <c r="M14" s="15">
        <v>34.799999999999997</v>
      </c>
      <c r="N14" s="15">
        <v>13.2</v>
      </c>
      <c r="O14" s="15">
        <v>0.44</v>
      </c>
    </row>
    <row r="15" spans="1:27" s="121" customFormat="1" x14ac:dyDescent="0.25">
      <c r="A15" s="93" t="s">
        <v>11</v>
      </c>
      <c r="B15" s="94"/>
      <c r="C15" s="94"/>
      <c r="D15" s="102">
        <f>SUM(D8:D14)</f>
        <v>28.607499999999998</v>
      </c>
      <c r="E15" s="102">
        <f t="shared" ref="E15" si="0">SUM(E8:E14)</f>
        <v>42.35</v>
      </c>
      <c r="F15" s="102">
        <f>SUM(F8:F14)</f>
        <v>111.33750000000001</v>
      </c>
      <c r="G15" s="102">
        <f>SUM(G8:G14)</f>
        <v>982.98</v>
      </c>
      <c r="H15" s="103"/>
      <c r="I15" s="103"/>
      <c r="J15" s="103"/>
      <c r="K15" s="103"/>
      <c r="L15" s="103"/>
      <c r="M15" s="103"/>
      <c r="N15" s="103"/>
      <c r="O15" s="103"/>
    </row>
    <row r="16" spans="1:27" ht="15.75" thickBot="1" x14ac:dyDescent="0.3"/>
    <row r="17" spans="1:16" ht="39" thickBot="1" x14ac:dyDescent="0.3">
      <c r="A17" s="45"/>
      <c r="B17" s="189" t="s">
        <v>58</v>
      </c>
      <c r="C17" s="190"/>
      <c r="D17" s="190"/>
      <c r="E17" s="191"/>
      <c r="F17" s="201" t="s">
        <v>59</v>
      </c>
      <c r="G17" s="202"/>
      <c r="H17" s="203"/>
      <c r="I17" s="112" t="s">
        <v>60</v>
      </c>
      <c r="K17" s="45"/>
      <c r="L17" s="45"/>
      <c r="M17" s="45"/>
      <c r="N17" s="45"/>
      <c r="O17" s="45"/>
      <c r="P17" s="45"/>
    </row>
    <row r="18" spans="1:16" ht="15.75" thickBot="1" x14ac:dyDescent="0.3">
      <c r="A18" s="36"/>
      <c r="B18" s="192"/>
      <c r="C18" s="193"/>
      <c r="D18" s="193"/>
      <c r="E18" s="194"/>
      <c r="F18" s="113" t="s">
        <v>1</v>
      </c>
      <c r="G18" s="113" t="s">
        <v>2</v>
      </c>
      <c r="H18" s="113" t="s">
        <v>3</v>
      </c>
      <c r="I18" s="114"/>
      <c r="K18" s="45"/>
      <c r="L18" s="38"/>
      <c r="M18" s="38"/>
      <c r="N18" s="38"/>
      <c r="O18" s="38"/>
      <c r="P18" s="45"/>
    </row>
    <row r="19" spans="1:16" ht="15.75" thickBot="1" x14ac:dyDescent="0.3">
      <c r="A19" s="36"/>
      <c r="B19" s="204" t="s">
        <v>62</v>
      </c>
      <c r="C19" s="205"/>
      <c r="D19" s="205"/>
      <c r="E19" s="206"/>
      <c r="F19" s="113" t="s">
        <v>63</v>
      </c>
      <c r="G19" s="113" t="s">
        <v>64</v>
      </c>
      <c r="H19" s="113" t="s">
        <v>65</v>
      </c>
      <c r="I19" s="113" t="s">
        <v>66</v>
      </c>
      <c r="K19" s="45"/>
      <c r="L19" s="38"/>
      <c r="M19" s="38"/>
      <c r="N19" s="38"/>
      <c r="O19" s="38"/>
      <c r="P19" s="45"/>
    </row>
    <row r="20" spans="1:16" ht="15.75" thickBot="1" x14ac:dyDescent="0.3">
      <c r="A20" s="45"/>
      <c r="B20" s="204" t="s">
        <v>61</v>
      </c>
      <c r="C20" s="205"/>
      <c r="D20" s="205"/>
      <c r="E20" s="206"/>
      <c r="F20" s="115">
        <f>D15</f>
        <v>28.607499999999998</v>
      </c>
      <c r="G20" s="115">
        <f>E15</f>
        <v>42.35</v>
      </c>
      <c r="H20" s="115">
        <f>F15</f>
        <v>111.33750000000001</v>
      </c>
      <c r="I20" s="115">
        <f>G15</f>
        <v>982.98</v>
      </c>
      <c r="K20" s="45"/>
      <c r="L20" s="45"/>
      <c r="M20" s="45"/>
      <c r="N20" s="45"/>
      <c r="O20" s="45"/>
      <c r="P20" s="45"/>
    </row>
    <row r="21" spans="1:16" s="27" customFormat="1" x14ac:dyDescent="0.25">
      <c r="A21" s="36"/>
      <c r="B21" s="13"/>
      <c r="C21" s="13"/>
      <c r="D21" s="13"/>
      <c r="E21" s="13"/>
      <c r="F21" s="13"/>
      <c r="G21" s="13"/>
      <c r="H21" s="13"/>
      <c r="I21" s="13"/>
      <c r="J21" s="13"/>
      <c r="K21" s="45"/>
      <c r="L21" s="38"/>
      <c r="M21" s="38"/>
      <c r="N21" s="38"/>
      <c r="O21" s="38"/>
      <c r="P21" s="46"/>
    </row>
    <row r="22" spans="1:16" ht="32.25" customHeight="1" x14ac:dyDescent="0.25">
      <c r="A22" s="45"/>
      <c r="B22" s="195" t="s">
        <v>109</v>
      </c>
      <c r="C22" s="195"/>
      <c r="D22" s="195"/>
      <c r="E22" s="195"/>
      <c r="F22" s="195"/>
      <c r="G22" s="195"/>
      <c r="H22" s="195"/>
      <c r="K22" s="45"/>
      <c r="L22" s="45"/>
      <c r="M22" s="45"/>
      <c r="N22" s="45"/>
      <c r="O22" s="45"/>
      <c r="P22" s="45"/>
    </row>
    <row r="23" spans="1:16" ht="30" customHeight="1" x14ac:dyDescent="0.25">
      <c r="A23" s="45"/>
      <c r="B23" s="116" t="s">
        <v>71</v>
      </c>
      <c r="C23" s="196" t="s">
        <v>72</v>
      </c>
      <c r="D23" s="196"/>
      <c r="E23" s="196"/>
      <c r="F23" s="196"/>
      <c r="G23" s="207" t="s">
        <v>123</v>
      </c>
      <c r="H23" s="208"/>
      <c r="J23" s="109" t="s">
        <v>40</v>
      </c>
      <c r="K23" s="110" t="s">
        <v>49</v>
      </c>
    </row>
    <row r="24" spans="1:16" ht="31.5" x14ac:dyDescent="0.25">
      <c r="A24" s="45"/>
      <c r="B24" s="197"/>
      <c r="C24" s="199" t="s">
        <v>73</v>
      </c>
      <c r="D24" s="200"/>
      <c r="E24" s="199" t="s">
        <v>74</v>
      </c>
      <c r="F24" s="200"/>
      <c r="G24" s="116" t="s">
        <v>73</v>
      </c>
      <c r="H24" s="116" t="s">
        <v>74</v>
      </c>
      <c r="J24" s="109" t="s">
        <v>42</v>
      </c>
      <c r="K24" s="110" t="s">
        <v>43</v>
      </c>
    </row>
    <row r="25" spans="1:16" ht="30" x14ac:dyDescent="0.25">
      <c r="A25" s="45"/>
      <c r="B25" s="198"/>
      <c r="C25" s="199" t="s">
        <v>47</v>
      </c>
      <c r="D25" s="200"/>
      <c r="E25" s="199" t="s">
        <v>47</v>
      </c>
      <c r="F25" s="200"/>
      <c r="G25" s="116" t="s">
        <v>47</v>
      </c>
      <c r="H25" s="116" t="s">
        <v>47</v>
      </c>
      <c r="J25" s="109" t="s">
        <v>44</v>
      </c>
      <c r="K25" s="110" t="s">
        <v>45</v>
      </c>
    </row>
    <row r="26" spans="1:16" ht="61.5" customHeight="1" x14ac:dyDescent="0.25">
      <c r="A26" s="45"/>
      <c r="B26" s="117" t="s">
        <v>75</v>
      </c>
      <c r="C26" s="209">
        <v>80</v>
      </c>
      <c r="D26" s="210"/>
      <c r="E26" s="209">
        <v>80</v>
      </c>
      <c r="F26" s="210"/>
      <c r="G26" s="118">
        <v>40</v>
      </c>
      <c r="H26" s="118">
        <v>40</v>
      </c>
      <c r="J26" s="109" t="s">
        <v>46</v>
      </c>
      <c r="K26" s="110" t="s">
        <v>47</v>
      </c>
    </row>
    <row r="27" spans="1:16" x14ac:dyDescent="0.25">
      <c r="A27" s="45"/>
      <c r="B27" s="117" t="s">
        <v>76</v>
      </c>
      <c r="C27" s="209">
        <v>150</v>
      </c>
      <c r="D27" s="210"/>
      <c r="E27" s="209">
        <v>150</v>
      </c>
      <c r="F27" s="210"/>
      <c r="G27" s="118">
        <v>40</v>
      </c>
      <c r="H27" s="118">
        <v>40</v>
      </c>
    </row>
    <row r="28" spans="1:16" x14ac:dyDescent="0.25">
      <c r="A28" s="45"/>
      <c r="B28" s="117" t="s">
        <v>77</v>
      </c>
      <c r="C28" s="209">
        <v>15</v>
      </c>
      <c r="D28" s="210"/>
      <c r="E28" s="209">
        <v>15</v>
      </c>
      <c r="F28" s="210"/>
      <c r="G28" s="118">
        <v>5</v>
      </c>
      <c r="H28" s="118">
        <v>5</v>
      </c>
    </row>
    <row r="29" spans="1:16" x14ac:dyDescent="0.25">
      <c r="A29" s="45"/>
      <c r="B29" s="117" t="s">
        <v>78</v>
      </c>
      <c r="C29" s="209">
        <v>45</v>
      </c>
      <c r="D29" s="210"/>
      <c r="E29" s="209">
        <v>45</v>
      </c>
      <c r="F29" s="210"/>
      <c r="G29" s="118"/>
      <c r="H29" s="118"/>
    </row>
    <row r="30" spans="1:16" x14ac:dyDescent="0.25">
      <c r="A30" s="45"/>
      <c r="B30" s="117" t="s">
        <v>79</v>
      </c>
      <c r="C30" s="209">
        <v>15</v>
      </c>
      <c r="D30" s="210"/>
      <c r="E30" s="209">
        <v>15</v>
      </c>
      <c r="F30" s="210"/>
      <c r="G30" s="118">
        <v>10</v>
      </c>
      <c r="H30" s="118">
        <v>10</v>
      </c>
    </row>
    <row r="31" spans="1:16" x14ac:dyDescent="0.25">
      <c r="A31" s="45"/>
      <c r="B31" s="117" t="s">
        <v>80</v>
      </c>
      <c r="C31" s="209" t="s">
        <v>81</v>
      </c>
      <c r="D31" s="210"/>
      <c r="E31" s="211">
        <v>188</v>
      </c>
      <c r="F31" s="212"/>
      <c r="G31" s="118">
        <v>53.4</v>
      </c>
      <c r="H31" s="118">
        <v>40</v>
      </c>
    </row>
    <row r="32" spans="1:16" x14ac:dyDescent="0.25">
      <c r="A32" s="45"/>
      <c r="B32" s="117" t="s">
        <v>82</v>
      </c>
      <c r="C32" s="209">
        <v>350</v>
      </c>
      <c r="D32" s="210"/>
      <c r="E32" s="209" t="s">
        <v>83</v>
      </c>
      <c r="F32" s="210"/>
      <c r="G32" s="118">
        <f>10+9.6+2+2+142+3+5+6+92.6</f>
        <v>272.2</v>
      </c>
      <c r="H32" s="119">
        <f>8+8+2+114+2.5+4+6+74</f>
        <v>218.5</v>
      </c>
    </row>
    <row r="33" spans="1:8" x14ac:dyDescent="0.25">
      <c r="A33" s="45"/>
      <c r="B33" s="117" t="s">
        <v>84</v>
      </c>
      <c r="C33" s="209">
        <v>200</v>
      </c>
      <c r="D33" s="210"/>
      <c r="E33" s="209" t="s">
        <v>85</v>
      </c>
      <c r="F33" s="210"/>
      <c r="G33" s="118"/>
      <c r="H33" s="118"/>
    </row>
    <row r="34" spans="1:8" ht="25.5" customHeight="1" x14ac:dyDescent="0.25">
      <c r="A34" s="45"/>
      <c r="B34" s="117" t="s">
        <v>86</v>
      </c>
      <c r="C34" s="209">
        <v>15</v>
      </c>
      <c r="D34" s="210"/>
      <c r="E34" s="209">
        <v>15</v>
      </c>
      <c r="F34" s="210"/>
      <c r="G34" s="118"/>
      <c r="H34" s="118"/>
    </row>
    <row r="35" spans="1:8" ht="38.25" x14ac:dyDescent="0.25">
      <c r="A35" s="45"/>
      <c r="B35" s="117" t="s">
        <v>87</v>
      </c>
      <c r="C35" s="209">
        <v>200</v>
      </c>
      <c r="D35" s="210"/>
      <c r="E35" s="209">
        <v>200</v>
      </c>
      <c r="F35" s="210"/>
      <c r="G35" s="118">
        <v>200</v>
      </c>
      <c r="H35" s="118">
        <v>200</v>
      </c>
    </row>
    <row r="36" spans="1:8" ht="25.5" x14ac:dyDescent="0.25">
      <c r="A36" s="45"/>
      <c r="B36" s="117" t="s">
        <v>88</v>
      </c>
      <c r="C36" s="209" t="s">
        <v>89</v>
      </c>
      <c r="D36" s="210"/>
      <c r="E36" s="209">
        <v>70</v>
      </c>
      <c r="F36" s="210"/>
      <c r="G36" s="118"/>
      <c r="H36" s="118"/>
    </row>
    <row r="37" spans="1:8" ht="25.5" x14ac:dyDescent="0.25">
      <c r="A37" s="45"/>
      <c r="B37" s="117" t="s">
        <v>90</v>
      </c>
      <c r="C37" s="209" t="s">
        <v>91</v>
      </c>
      <c r="D37" s="210"/>
      <c r="E37" s="209">
        <v>35</v>
      </c>
      <c r="F37" s="210"/>
      <c r="G37" s="118">
        <f>85+40</f>
        <v>125</v>
      </c>
      <c r="H37" s="118">
        <f>35+25</f>
        <v>60</v>
      </c>
    </row>
    <row r="38" spans="1:8" x14ac:dyDescent="0.25">
      <c r="A38" s="45"/>
      <c r="B38" s="117" t="s">
        <v>92</v>
      </c>
      <c r="C38" s="209">
        <v>60</v>
      </c>
      <c r="D38" s="210"/>
      <c r="E38" s="209">
        <v>58</v>
      </c>
      <c r="F38" s="210"/>
      <c r="G38" s="118"/>
      <c r="H38" s="118"/>
    </row>
    <row r="39" spans="1:8" x14ac:dyDescent="0.25">
      <c r="A39" s="45"/>
      <c r="B39" s="117" t="s">
        <v>93</v>
      </c>
      <c r="C39" s="209">
        <v>15</v>
      </c>
      <c r="D39" s="210"/>
      <c r="E39" s="209">
        <v>14.7</v>
      </c>
      <c r="F39" s="210"/>
      <c r="G39" s="118"/>
      <c r="H39" s="118"/>
    </row>
    <row r="40" spans="1:8" ht="25.5" x14ac:dyDescent="0.25">
      <c r="A40" s="45"/>
      <c r="B40" s="117" t="s">
        <v>94</v>
      </c>
      <c r="C40" s="209">
        <v>300</v>
      </c>
      <c r="D40" s="210"/>
      <c r="E40" s="209">
        <v>300</v>
      </c>
      <c r="F40" s="210"/>
      <c r="G40" s="118"/>
      <c r="H40" s="118"/>
    </row>
    <row r="41" spans="1:8" ht="25.5" x14ac:dyDescent="0.25">
      <c r="A41" s="45"/>
      <c r="B41" s="117" t="s">
        <v>95</v>
      </c>
      <c r="C41" s="209">
        <v>150</v>
      </c>
      <c r="D41" s="210"/>
      <c r="E41" s="209">
        <v>150</v>
      </c>
      <c r="F41" s="210"/>
      <c r="G41" s="118"/>
      <c r="H41" s="118"/>
    </row>
    <row r="42" spans="1:8" ht="25.5" x14ac:dyDescent="0.25">
      <c r="A42" s="45"/>
      <c r="B42" s="117" t="s">
        <v>96</v>
      </c>
      <c r="C42" s="209">
        <v>50</v>
      </c>
      <c r="D42" s="210"/>
      <c r="E42" s="209">
        <v>50</v>
      </c>
      <c r="F42" s="210"/>
      <c r="G42" s="118"/>
      <c r="H42" s="118"/>
    </row>
    <row r="43" spans="1:8" x14ac:dyDescent="0.25">
      <c r="A43" s="45"/>
      <c r="B43" s="117" t="s">
        <v>97</v>
      </c>
      <c r="C43" s="209">
        <v>10</v>
      </c>
      <c r="D43" s="210"/>
      <c r="E43" s="209">
        <v>9.8000000000000007</v>
      </c>
      <c r="F43" s="210"/>
      <c r="G43" s="118"/>
      <c r="H43" s="119"/>
    </row>
    <row r="44" spans="1:8" ht="25.5" x14ac:dyDescent="0.25">
      <c r="A44" s="45"/>
      <c r="B44" s="117" t="s">
        <v>98</v>
      </c>
      <c r="C44" s="209">
        <v>10</v>
      </c>
      <c r="D44" s="210"/>
      <c r="E44" s="209">
        <v>10</v>
      </c>
      <c r="F44" s="210"/>
      <c r="G44" s="120"/>
      <c r="H44" s="120"/>
    </row>
    <row r="45" spans="1:8" x14ac:dyDescent="0.25">
      <c r="A45" s="45"/>
      <c r="B45" s="117" t="s">
        <v>99</v>
      </c>
      <c r="C45" s="209">
        <v>30</v>
      </c>
      <c r="D45" s="210"/>
      <c r="E45" s="209">
        <v>30</v>
      </c>
      <c r="F45" s="210"/>
      <c r="G45" s="118"/>
      <c r="H45" s="118"/>
    </row>
    <row r="46" spans="1:8" x14ac:dyDescent="0.25">
      <c r="A46" s="45"/>
      <c r="B46" s="117" t="s">
        <v>100</v>
      </c>
      <c r="C46" s="209">
        <v>15</v>
      </c>
      <c r="D46" s="210"/>
      <c r="E46" s="209">
        <v>15</v>
      </c>
      <c r="F46" s="210"/>
      <c r="G46" s="118">
        <f>2+4+3+5+0.15</f>
        <v>14.15</v>
      </c>
      <c r="H46" s="118">
        <v>14.15</v>
      </c>
    </row>
    <row r="47" spans="1:8" x14ac:dyDescent="0.25">
      <c r="A47" s="45"/>
      <c r="B47" s="117" t="s">
        <v>101</v>
      </c>
      <c r="C47" s="209" t="s">
        <v>102</v>
      </c>
      <c r="D47" s="210"/>
      <c r="E47" s="209">
        <v>40</v>
      </c>
      <c r="F47" s="210"/>
      <c r="G47" s="118"/>
      <c r="H47" s="118"/>
    </row>
    <row r="48" spans="1:8" x14ac:dyDescent="0.25">
      <c r="A48" s="45"/>
      <c r="B48" s="117" t="s">
        <v>103</v>
      </c>
      <c r="C48" s="209">
        <v>40</v>
      </c>
      <c r="D48" s="210"/>
      <c r="E48" s="211">
        <v>40</v>
      </c>
      <c r="F48" s="212"/>
      <c r="G48" s="118"/>
      <c r="H48" s="118"/>
    </row>
    <row r="49" spans="1:8" x14ac:dyDescent="0.25">
      <c r="A49" s="45"/>
      <c r="B49" s="117" t="s">
        <v>104</v>
      </c>
      <c r="C49" s="211">
        <v>10</v>
      </c>
      <c r="D49" s="212"/>
      <c r="E49" s="209">
        <v>10</v>
      </c>
      <c r="F49" s="210"/>
      <c r="G49" s="118"/>
      <c r="H49" s="118"/>
    </row>
    <row r="50" spans="1:8" x14ac:dyDescent="0.25">
      <c r="A50" s="45"/>
      <c r="B50" s="117" t="s">
        <v>105</v>
      </c>
      <c r="C50" s="209">
        <v>0.4</v>
      </c>
      <c r="D50" s="210"/>
      <c r="E50" s="209">
        <v>0.4</v>
      </c>
      <c r="F50" s="210"/>
      <c r="G50" s="118"/>
      <c r="H50" s="118"/>
    </row>
    <row r="51" spans="1:8" x14ac:dyDescent="0.25">
      <c r="A51" s="45"/>
      <c r="B51" s="117" t="s">
        <v>106</v>
      </c>
      <c r="C51" s="209">
        <v>1.2</v>
      </c>
      <c r="D51" s="210"/>
      <c r="E51" s="209">
        <v>1.2</v>
      </c>
      <c r="F51" s="210"/>
      <c r="G51" s="118"/>
      <c r="H51" s="118"/>
    </row>
    <row r="52" spans="1:8" x14ac:dyDescent="0.25">
      <c r="A52" s="45"/>
      <c r="B52" s="117" t="s">
        <v>107</v>
      </c>
      <c r="C52" s="209">
        <v>1</v>
      </c>
      <c r="D52" s="210"/>
      <c r="E52" s="209">
        <v>1</v>
      </c>
      <c r="F52" s="210"/>
      <c r="G52" s="118"/>
      <c r="H52" s="118"/>
    </row>
    <row r="53" spans="1:8" x14ac:dyDescent="0.25">
      <c r="A53" s="45"/>
      <c r="B53" s="117" t="s">
        <v>108</v>
      </c>
      <c r="C53" s="209">
        <v>5</v>
      </c>
      <c r="D53" s="210"/>
      <c r="E53" s="209">
        <v>5</v>
      </c>
      <c r="F53" s="210"/>
      <c r="G53" s="118">
        <v>3.1</v>
      </c>
      <c r="H53" s="118">
        <v>3.1</v>
      </c>
    </row>
    <row r="54" spans="1:8" x14ac:dyDescent="0.25">
      <c r="A54" s="45"/>
      <c r="B54" s="45"/>
      <c r="C54" s="45"/>
      <c r="D54" s="45"/>
      <c r="E54" s="45"/>
      <c r="F54" s="45"/>
      <c r="G54" s="45"/>
      <c r="H54" s="45"/>
    </row>
    <row r="55" spans="1:8" x14ac:dyDescent="0.25">
      <c r="A55" s="45"/>
      <c r="B55" s="45"/>
      <c r="C55" s="45"/>
      <c r="D55" s="45"/>
      <c r="E55" s="45"/>
      <c r="F55" s="45"/>
      <c r="G55" s="45"/>
      <c r="H55" s="45"/>
    </row>
  </sheetData>
  <sheetProtection formatCells="0" formatColumns="0" formatRows="0" insertColumns="0" insertRows="0" insertHyperlinks="0" deleteColumns="0" deleteRows="0" sort="0" autoFilter="0" pivotTables="0"/>
  <mergeCells count="76">
    <mergeCell ref="E35:F35"/>
    <mergeCell ref="E34:F34"/>
    <mergeCell ref="E36:F36"/>
    <mergeCell ref="E37:F37"/>
    <mergeCell ref="E38:F38"/>
    <mergeCell ref="E40:F40"/>
    <mergeCell ref="E39:F39"/>
    <mergeCell ref="E41:F41"/>
    <mergeCell ref="E42:F42"/>
    <mergeCell ref="E43:F43"/>
    <mergeCell ref="E53:F5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30:F30"/>
    <mergeCell ref="E31:F31"/>
    <mergeCell ref="E32:F32"/>
    <mergeCell ref="E33:F33"/>
    <mergeCell ref="C28:D28"/>
    <mergeCell ref="E28:F28"/>
    <mergeCell ref="C33:D33"/>
    <mergeCell ref="C32:D32"/>
    <mergeCell ref="C31:D31"/>
    <mergeCell ref="C30:D30"/>
    <mergeCell ref="C29:D29"/>
    <mergeCell ref="E29:F29"/>
    <mergeCell ref="C27:D27"/>
    <mergeCell ref="C26:D26"/>
    <mergeCell ref="C25:D25"/>
    <mergeCell ref="E25:F25"/>
    <mergeCell ref="E26:F26"/>
    <mergeCell ref="E27:F27"/>
    <mergeCell ref="C38:D38"/>
    <mergeCell ref="C37:D37"/>
    <mergeCell ref="C36:D36"/>
    <mergeCell ref="C35:D35"/>
    <mergeCell ref="C34:D34"/>
    <mergeCell ref="C43:D43"/>
    <mergeCell ref="C42:D42"/>
    <mergeCell ref="C41:D41"/>
    <mergeCell ref="C40:D40"/>
    <mergeCell ref="C39:D39"/>
    <mergeCell ref="C48:D48"/>
    <mergeCell ref="C47:D47"/>
    <mergeCell ref="C46:D46"/>
    <mergeCell ref="C44:D44"/>
    <mergeCell ref="C45:D45"/>
    <mergeCell ref="C53:D53"/>
    <mergeCell ref="C52:D52"/>
    <mergeCell ref="C51:D51"/>
    <mergeCell ref="C50:D50"/>
    <mergeCell ref="C49:D49"/>
    <mergeCell ref="B17:E18"/>
    <mergeCell ref="B22:H22"/>
    <mergeCell ref="C23:F23"/>
    <mergeCell ref="B24:B25"/>
    <mergeCell ref="C24:D24"/>
    <mergeCell ref="E24:F24"/>
    <mergeCell ref="F17:H17"/>
    <mergeCell ref="B19:E19"/>
    <mergeCell ref="B20:E20"/>
    <mergeCell ref="G23:H23"/>
    <mergeCell ref="A7:O7"/>
    <mergeCell ref="L5:O5"/>
    <mergeCell ref="A5:A6"/>
    <mergeCell ref="B5:B6"/>
    <mergeCell ref="C5:C6"/>
    <mergeCell ref="D5:F5"/>
    <mergeCell ref="G5:G6"/>
    <mergeCell ref="H5:K5"/>
  </mergeCells>
  <pageMargins left="0.70866141732283472" right="0.70866141732283472" top="0.74803149606299213" bottom="0.74803149606299213" header="0.31496062992125984" footer="0.31496062992125984"/>
  <pageSetup paperSize="9" scale="73" fitToWidth="2" fitToHeight="2" orientation="landscape" r:id="rId1"/>
  <rowBreaks count="1" manualBreakCount="1">
    <brk id="21" max="1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O55"/>
  <sheetViews>
    <sheetView view="pageBreakPreview" topLeftCell="A25" zoomScale="90" zoomScaleNormal="100" zoomScaleSheetLayoutView="90" workbookViewId="0">
      <selection activeCell="K51" sqref="K51"/>
    </sheetView>
  </sheetViews>
  <sheetFormatPr defaultRowHeight="15" x14ac:dyDescent="0.25"/>
  <cols>
    <col min="1" max="1" width="13.7109375" bestFit="1" customWidth="1"/>
    <col min="2" max="2" width="27.140625" customWidth="1"/>
    <col min="4" max="4" width="10.140625" bestFit="1" customWidth="1"/>
    <col min="6" max="6" width="11.85546875" customWidth="1"/>
    <col min="7" max="7" width="13.42578125" customWidth="1"/>
    <col min="11" max="11" width="13.42578125" customWidth="1"/>
  </cols>
  <sheetData>
    <row r="1" spans="1:15" ht="15.75" x14ac:dyDescent="0.25">
      <c r="A1" s="12" t="s">
        <v>40</v>
      </c>
      <c r="B1" s="11" t="s">
        <v>50</v>
      </c>
    </row>
    <row r="2" spans="1:15" ht="15.75" x14ac:dyDescent="0.25">
      <c r="A2" s="12" t="s">
        <v>42</v>
      </c>
      <c r="B2" s="11" t="s">
        <v>43</v>
      </c>
    </row>
    <row r="3" spans="1:15" ht="15.75" x14ac:dyDescent="0.25">
      <c r="A3" s="12" t="s">
        <v>44</v>
      </c>
      <c r="B3" s="11" t="s">
        <v>45</v>
      </c>
    </row>
    <row r="4" spans="1:15" ht="31.5" x14ac:dyDescent="0.25">
      <c r="A4" s="12" t="s">
        <v>46</v>
      </c>
      <c r="B4" s="11" t="s">
        <v>47</v>
      </c>
    </row>
    <row r="5" spans="1:15" ht="15.75" x14ac:dyDescent="0.25">
      <c r="A5" s="216" t="s">
        <v>29</v>
      </c>
      <c r="B5" s="216" t="s">
        <v>19</v>
      </c>
      <c r="C5" s="216" t="s">
        <v>21</v>
      </c>
      <c r="D5" s="213" t="s">
        <v>32</v>
      </c>
      <c r="E5" s="214"/>
      <c r="F5" s="215"/>
      <c r="G5" s="216" t="s">
        <v>0</v>
      </c>
      <c r="H5" s="213" t="s">
        <v>31</v>
      </c>
      <c r="I5" s="214"/>
      <c r="J5" s="214"/>
      <c r="K5" s="215"/>
      <c r="L5" s="213" t="s">
        <v>30</v>
      </c>
      <c r="M5" s="214"/>
      <c r="N5" s="214"/>
      <c r="O5" s="215"/>
    </row>
    <row r="6" spans="1:15" ht="15.75" x14ac:dyDescent="0.25">
      <c r="A6" s="217"/>
      <c r="B6" s="218"/>
      <c r="C6" s="219"/>
      <c r="D6" s="8" t="s">
        <v>1</v>
      </c>
      <c r="E6" s="8" t="s">
        <v>2</v>
      </c>
      <c r="F6" s="8" t="s">
        <v>3</v>
      </c>
      <c r="G6" s="217"/>
      <c r="H6" s="8" t="s">
        <v>18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</row>
    <row r="7" spans="1:15" s="13" customFormat="1" ht="18.75" x14ac:dyDescent="0.25">
      <c r="A7" s="180" t="s">
        <v>20</v>
      </c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1"/>
    </row>
    <row r="8" spans="1:15" s="13" customFormat="1" ht="25.5" x14ac:dyDescent="0.25">
      <c r="A8" s="14">
        <v>54</v>
      </c>
      <c r="B8" s="9" t="s">
        <v>69</v>
      </c>
      <c r="C8" s="14">
        <v>100</v>
      </c>
      <c r="D8" s="15">
        <f>1.9</f>
        <v>1.9</v>
      </c>
      <c r="E8" s="15">
        <v>6.08</v>
      </c>
      <c r="F8" s="15">
        <v>11.2</v>
      </c>
      <c r="G8" s="15">
        <v>103.9</v>
      </c>
      <c r="H8" s="15">
        <v>0.02</v>
      </c>
      <c r="I8" s="15">
        <v>6.44</v>
      </c>
      <c r="J8" s="15"/>
      <c r="K8" s="15">
        <v>10.6</v>
      </c>
      <c r="L8" s="15">
        <v>29.27</v>
      </c>
      <c r="M8" s="15">
        <v>31.8</v>
      </c>
      <c r="N8" s="15">
        <v>16.829999999999998</v>
      </c>
      <c r="O8" s="15">
        <v>1.48</v>
      </c>
    </row>
    <row r="9" spans="1:15" s="13" customFormat="1" ht="38.25" x14ac:dyDescent="0.25">
      <c r="A9" s="107">
        <v>88</v>
      </c>
      <c r="B9" s="9" t="s">
        <v>113</v>
      </c>
      <c r="C9" s="107">
        <v>250</v>
      </c>
      <c r="D9" s="15">
        <f>(7.06/4)+0.8</f>
        <v>2.5649999999999999</v>
      </c>
      <c r="E9" s="15">
        <f>(19.8/4)+0.2</f>
        <v>5.15</v>
      </c>
      <c r="F9" s="15">
        <f>31.61/4</f>
        <v>7.9024999999999999</v>
      </c>
      <c r="G9" s="15">
        <f>(359/4)+5+30</f>
        <v>124.75</v>
      </c>
      <c r="H9" s="15">
        <f>0.23/4</f>
        <v>5.7500000000000002E-2</v>
      </c>
      <c r="I9" s="15">
        <f>63.1/4</f>
        <v>15.775</v>
      </c>
      <c r="J9" s="15"/>
      <c r="K9" s="15">
        <f>9.4/4</f>
        <v>2.35</v>
      </c>
      <c r="L9" s="15">
        <f>(197/4)+2</f>
        <v>51.25</v>
      </c>
      <c r="M9" s="15">
        <f>196/4</f>
        <v>49</v>
      </c>
      <c r="N9" s="15">
        <f>88.5/4</f>
        <v>22.125</v>
      </c>
      <c r="O9" s="15">
        <f>3.3/4</f>
        <v>0.82499999999999996</v>
      </c>
    </row>
    <row r="10" spans="1:15" s="13" customFormat="1" x14ac:dyDescent="0.25">
      <c r="A10" s="14">
        <v>302</v>
      </c>
      <c r="B10" s="9" t="s">
        <v>17</v>
      </c>
      <c r="C10" s="14">
        <v>150</v>
      </c>
      <c r="D10" s="15">
        <f>57.32/100*15</f>
        <v>8.5980000000000008</v>
      </c>
      <c r="E10" s="15">
        <f>40.62/100*15</f>
        <v>6.0929999999999991</v>
      </c>
      <c r="F10" s="15">
        <f>257.61/100*15</f>
        <v>38.641500000000008</v>
      </c>
      <c r="G10" s="15">
        <f>1625/100*15</f>
        <v>243.75</v>
      </c>
      <c r="H10" s="15">
        <f>1.39/100*15</f>
        <v>0.20849999999999999</v>
      </c>
      <c r="I10" s="15"/>
      <c r="J10" s="15"/>
      <c r="K10" s="15">
        <f>4.05/100*15</f>
        <v>0.60750000000000004</v>
      </c>
      <c r="L10" s="15">
        <f>98.8/100*15</f>
        <v>14.82</v>
      </c>
      <c r="M10" s="15">
        <f>1359.5/100*15</f>
        <v>203.92500000000001</v>
      </c>
      <c r="N10" s="15">
        <f>905.5/100*15</f>
        <v>135.82499999999999</v>
      </c>
      <c r="O10" s="15">
        <f>30.4/100*15</f>
        <v>4.5599999999999996</v>
      </c>
    </row>
    <row r="11" spans="1:15" s="13" customFormat="1" x14ac:dyDescent="0.25">
      <c r="A11" s="14">
        <v>278</v>
      </c>
      <c r="B11" s="9" t="s">
        <v>16</v>
      </c>
      <c r="C11" s="14">
        <v>110</v>
      </c>
      <c r="D11" s="15">
        <v>7.83</v>
      </c>
      <c r="E11" s="15">
        <v>8.75</v>
      </c>
      <c r="F11" s="15">
        <v>10.25</v>
      </c>
      <c r="G11" s="15">
        <v>151</v>
      </c>
      <c r="H11" s="15">
        <v>0.05</v>
      </c>
      <c r="I11" s="15">
        <v>0.72</v>
      </c>
      <c r="J11" s="15">
        <v>33.92</v>
      </c>
      <c r="K11" s="15">
        <v>0.55000000000000004</v>
      </c>
      <c r="L11" s="15">
        <v>27.95</v>
      </c>
      <c r="M11" s="15">
        <v>88.37</v>
      </c>
      <c r="N11" s="15">
        <v>18.329999999999998</v>
      </c>
      <c r="O11" s="15">
        <v>0.87</v>
      </c>
    </row>
    <row r="12" spans="1:15" s="13" customFormat="1" x14ac:dyDescent="0.25">
      <c r="A12" s="107">
        <v>389</v>
      </c>
      <c r="B12" s="9" t="s">
        <v>130</v>
      </c>
      <c r="C12" s="88">
        <v>200</v>
      </c>
      <c r="D12" s="89">
        <f>1</f>
        <v>1</v>
      </c>
      <c r="E12" s="88">
        <v>0</v>
      </c>
      <c r="F12" s="89">
        <f>101/5</f>
        <v>20.2</v>
      </c>
      <c r="G12" s="88">
        <f>424/5</f>
        <v>84.8</v>
      </c>
      <c r="H12" s="89">
        <f>0.11/5</f>
        <v>2.1999999999999999E-2</v>
      </c>
      <c r="I12" s="88">
        <f>30/5</f>
        <v>6</v>
      </c>
      <c r="J12" s="89">
        <v>0</v>
      </c>
      <c r="K12" s="88">
        <f>1/5</f>
        <v>0.2</v>
      </c>
      <c r="L12" s="89">
        <f>70/5</f>
        <v>14</v>
      </c>
      <c r="M12" s="88">
        <f>70/5</f>
        <v>14</v>
      </c>
      <c r="N12" s="89">
        <f>40/5</f>
        <v>8</v>
      </c>
      <c r="O12" s="90">
        <f>14/5</f>
        <v>2.8</v>
      </c>
    </row>
    <row r="13" spans="1:15" s="13" customFormat="1" x14ac:dyDescent="0.25">
      <c r="A13" s="42"/>
      <c r="B13" s="9" t="s">
        <v>14</v>
      </c>
      <c r="C13" s="14">
        <v>40</v>
      </c>
      <c r="D13" s="15">
        <v>2.2400000000000002</v>
      </c>
      <c r="E13" s="15">
        <v>0.88</v>
      </c>
      <c r="F13" s="15">
        <v>19.760000000000002</v>
      </c>
      <c r="G13" s="15">
        <v>91.96</v>
      </c>
      <c r="H13" s="15">
        <v>0.04</v>
      </c>
      <c r="I13" s="15"/>
      <c r="J13" s="15"/>
      <c r="K13" s="15">
        <v>0.36</v>
      </c>
      <c r="L13" s="15">
        <v>9.1999999999999993</v>
      </c>
      <c r="M13" s="15">
        <v>42.4</v>
      </c>
      <c r="N13" s="15">
        <v>10</v>
      </c>
      <c r="O13" s="15">
        <v>1.24</v>
      </c>
    </row>
    <row r="14" spans="1:15" s="13" customFormat="1" x14ac:dyDescent="0.25">
      <c r="A14" s="42"/>
      <c r="B14" s="9" t="s">
        <v>76</v>
      </c>
      <c r="C14" s="92">
        <v>40</v>
      </c>
      <c r="D14" s="15">
        <v>3.16</v>
      </c>
      <c r="E14" s="15">
        <v>0.4</v>
      </c>
      <c r="F14" s="15">
        <v>19.32</v>
      </c>
      <c r="G14" s="15">
        <v>93.52</v>
      </c>
      <c r="H14" s="15">
        <v>0.04</v>
      </c>
      <c r="I14" s="15"/>
      <c r="J14" s="15"/>
      <c r="K14" s="15">
        <v>0.52</v>
      </c>
      <c r="L14" s="15">
        <v>9.1999999999999993</v>
      </c>
      <c r="M14" s="15">
        <v>34.799999999999997</v>
      </c>
      <c r="N14" s="15">
        <v>13.2</v>
      </c>
      <c r="O14" s="15">
        <v>0.44</v>
      </c>
    </row>
    <row r="15" spans="1:15" x14ac:dyDescent="0.25">
      <c r="A15" s="93" t="s">
        <v>11</v>
      </c>
      <c r="B15" s="94"/>
      <c r="C15" s="94"/>
      <c r="D15" s="95">
        <f>SUM(D8:D14)</f>
        <v>27.293000000000003</v>
      </c>
      <c r="E15" s="95">
        <f t="shared" ref="E15:G15" si="0">SUM(E8:E14)</f>
        <v>27.352999999999998</v>
      </c>
      <c r="F15" s="95">
        <f t="shared" si="0"/>
        <v>127.274</v>
      </c>
      <c r="G15" s="95">
        <f t="shared" si="0"/>
        <v>893.68</v>
      </c>
      <c r="H15" s="95"/>
      <c r="I15" s="95"/>
      <c r="J15" s="95"/>
      <c r="K15" s="95"/>
      <c r="L15" s="95"/>
      <c r="M15" s="95"/>
      <c r="N15" s="95"/>
      <c r="O15" s="95"/>
    </row>
    <row r="16" spans="1:15" ht="15.75" thickBot="1" x14ac:dyDescent="0.3"/>
    <row r="17" spans="1:12" ht="39" thickBot="1" x14ac:dyDescent="0.3">
      <c r="B17" s="133" t="s">
        <v>58</v>
      </c>
      <c r="C17" s="134"/>
      <c r="D17" s="134"/>
      <c r="E17" s="134"/>
      <c r="F17" s="137" t="s">
        <v>59</v>
      </c>
      <c r="G17" s="138"/>
      <c r="H17" s="139"/>
      <c r="I17" s="32" t="s">
        <v>60</v>
      </c>
    </row>
    <row r="18" spans="1:12" ht="15.75" thickBot="1" x14ac:dyDescent="0.3">
      <c r="B18" s="135"/>
      <c r="C18" s="136"/>
      <c r="D18" s="136"/>
      <c r="E18" s="136"/>
      <c r="F18" s="33" t="s">
        <v>1</v>
      </c>
      <c r="G18" s="33" t="s">
        <v>2</v>
      </c>
      <c r="H18" s="33" t="s">
        <v>3</v>
      </c>
      <c r="I18" s="34"/>
    </row>
    <row r="19" spans="1:12" ht="15.75" thickBot="1" x14ac:dyDescent="0.3">
      <c r="B19" s="140" t="s">
        <v>62</v>
      </c>
      <c r="C19" s="141"/>
      <c r="D19" s="141"/>
      <c r="E19" s="141"/>
      <c r="F19" s="33" t="s">
        <v>63</v>
      </c>
      <c r="G19" s="33" t="s">
        <v>64</v>
      </c>
      <c r="H19" s="33" t="s">
        <v>65</v>
      </c>
      <c r="I19" s="33" t="s">
        <v>66</v>
      </c>
    </row>
    <row r="20" spans="1:12" ht="15.75" thickBot="1" x14ac:dyDescent="0.3">
      <c r="B20" s="140" t="s">
        <v>61</v>
      </c>
      <c r="C20" s="141"/>
      <c r="D20" s="141"/>
      <c r="E20" s="141"/>
      <c r="F20" s="35">
        <f>D15</f>
        <v>27.293000000000003</v>
      </c>
      <c r="G20" s="35">
        <f>E15</f>
        <v>27.352999999999998</v>
      </c>
      <c r="H20" s="35">
        <f>F15</f>
        <v>127.274</v>
      </c>
      <c r="I20" s="35">
        <f>G15</f>
        <v>893.68</v>
      </c>
    </row>
    <row r="22" spans="1:12" ht="30.75" customHeight="1" x14ac:dyDescent="0.25">
      <c r="A22" s="17"/>
      <c r="B22" s="152" t="s">
        <v>109</v>
      </c>
      <c r="C22" s="152"/>
      <c r="D22" s="152"/>
      <c r="E22" s="152"/>
      <c r="F22" s="152"/>
      <c r="G22" s="152"/>
      <c r="H22" s="152"/>
    </row>
    <row r="23" spans="1:12" ht="21.75" customHeight="1" x14ac:dyDescent="0.25">
      <c r="A23" s="17"/>
      <c r="B23" s="67" t="s">
        <v>71</v>
      </c>
      <c r="C23" s="147" t="s">
        <v>72</v>
      </c>
      <c r="D23" s="147"/>
      <c r="E23" s="147"/>
      <c r="F23" s="147"/>
      <c r="G23" s="153" t="s">
        <v>123</v>
      </c>
      <c r="H23" s="154"/>
      <c r="K23" s="12" t="s">
        <v>40</v>
      </c>
      <c r="L23" s="11" t="s">
        <v>50</v>
      </c>
    </row>
    <row r="24" spans="1:12" ht="21.75" customHeight="1" x14ac:dyDescent="0.25">
      <c r="A24" s="17"/>
      <c r="B24" s="150"/>
      <c r="C24" s="148" t="s">
        <v>73</v>
      </c>
      <c r="D24" s="149"/>
      <c r="E24" s="148" t="s">
        <v>74</v>
      </c>
      <c r="F24" s="149"/>
      <c r="G24" s="67" t="s">
        <v>73</v>
      </c>
      <c r="H24" s="67" t="s">
        <v>74</v>
      </c>
      <c r="K24" s="12" t="s">
        <v>42</v>
      </c>
      <c r="L24" s="11" t="s">
        <v>43</v>
      </c>
    </row>
    <row r="25" spans="1:12" ht="30" x14ac:dyDescent="0.25">
      <c r="A25" s="17"/>
      <c r="B25" s="151"/>
      <c r="C25" s="148" t="s">
        <v>47</v>
      </c>
      <c r="D25" s="149"/>
      <c r="E25" s="148" t="s">
        <v>47</v>
      </c>
      <c r="F25" s="149"/>
      <c r="G25" s="67" t="s">
        <v>47</v>
      </c>
      <c r="H25" s="67" t="s">
        <v>47</v>
      </c>
      <c r="K25" s="12" t="s">
        <v>44</v>
      </c>
      <c r="L25" s="11" t="s">
        <v>45</v>
      </c>
    </row>
    <row r="26" spans="1:12" ht="31.5" x14ac:dyDescent="0.25">
      <c r="A26" s="17"/>
      <c r="B26" s="68" t="s">
        <v>75</v>
      </c>
      <c r="C26" s="155">
        <v>80</v>
      </c>
      <c r="D26" s="156"/>
      <c r="E26" s="155">
        <v>80</v>
      </c>
      <c r="F26" s="156"/>
      <c r="G26" s="69">
        <v>40</v>
      </c>
      <c r="H26" s="69">
        <v>40</v>
      </c>
      <c r="K26" s="12" t="s">
        <v>46</v>
      </c>
      <c r="L26" s="11" t="s">
        <v>47</v>
      </c>
    </row>
    <row r="27" spans="1:12" x14ac:dyDescent="0.25">
      <c r="A27" s="17"/>
      <c r="B27" s="68" t="s">
        <v>76</v>
      </c>
      <c r="C27" s="155">
        <v>150</v>
      </c>
      <c r="D27" s="156"/>
      <c r="E27" s="155">
        <v>150</v>
      </c>
      <c r="F27" s="156"/>
      <c r="G27" s="69">
        <v>40</v>
      </c>
      <c r="H27" s="69">
        <v>40</v>
      </c>
    </row>
    <row r="28" spans="1:12" x14ac:dyDescent="0.25">
      <c r="A28" s="17"/>
      <c r="B28" s="68" t="s">
        <v>77</v>
      </c>
      <c r="C28" s="155">
        <v>15</v>
      </c>
      <c r="D28" s="156"/>
      <c r="E28" s="155">
        <v>15</v>
      </c>
      <c r="F28" s="156"/>
      <c r="G28" s="69">
        <v>5</v>
      </c>
      <c r="H28" s="69">
        <v>5</v>
      </c>
    </row>
    <row r="29" spans="1:12" x14ac:dyDescent="0.25">
      <c r="A29" s="17"/>
      <c r="B29" s="70" t="s">
        <v>78</v>
      </c>
      <c r="C29" s="157">
        <v>45</v>
      </c>
      <c r="D29" s="158"/>
      <c r="E29" s="157">
        <v>45</v>
      </c>
      <c r="F29" s="158"/>
      <c r="G29" s="71">
        <f>40+35</f>
        <v>75</v>
      </c>
      <c r="H29" s="71">
        <v>75</v>
      </c>
    </row>
    <row r="30" spans="1:12" x14ac:dyDescent="0.25">
      <c r="A30" s="17"/>
      <c r="B30" s="68" t="s">
        <v>79</v>
      </c>
      <c r="C30" s="155">
        <v>15</v>
      </c>
      <c r="D30" s="156"/>
      <c r="E30" s="155">
        <v>15</v>
      </c>
      <c r="F30" s="156"/>
      <c r="G30" s="69"/>
      <c r="H30" s="69"/>
    </row>
    <row r="31" spans="1:12" x14ac:dyDescent="0.25">
      <c r="A31" s="17"/>
      <c r="B31" s="68" t="s">
        <v>80</v>
      </c>
      <c r="C31" s="155" t="s">
        <v>81</v>
      </c>
      <c r="D31" s="156"/>
      <c r="E31" s="159">
        <v>188</v>
      </c>
      <c r="F31" s="160"/>
      <c r="G31" s="69">
        <v>40</v>
      </c>
      <c r="H31" s="69">
        <v>30</v>
      </c>
    </row>
    <row r="32" spans="1:12" x14ac:dyDescent="0.25">
      <c r="A32" s="17"/>
      <c r="B32" s="68" t="s">
        <v>82</v>
      </c>
      <c r="C32" s="155">
        <v>350</v>
      </c>
      <c r="D32" s="156"/>
      <c r="E32" s="155" t="s">
        <v>83</v>
      </c>
      <c r="F32" s="156"/>
      <c r="G32" s="69">
        <f>85.6+24+5+63+12.5+3.25+12+2.5</f>
        <v>207.85</v>
      </c>
      <c r="H32" s="87">
        <f>67+20+50+10+2.5+10+2.5</f>
        <v>162</v>
      </c>
    </row>
    <row r="33" spans="1:8" x14ac:dyDescent="0.25">
      <c r="A33" s="17"/>
      <c r="B33" s="68" t="s">
        <v>84</v>
      </c>
      <c r="C33" s="155">
        <v>200</v>
      </c>
      <c r="D33" s="156"/>
      <c r="E33" s="155" t="s">
        <v>85</v>
      </c>
      <c r="F33" s="156"/>
      <c r="G33" s="69"/>
      <c r="H33" s="69"/>
    </row>
    <row r="34" spans="1:8" ht="25.5" x14ac:dyDescent="0.25">
      <c r="A34" s="17"/>
      <c r="B34" s="68" t="s">
        <v>86</v>
      </c>
      <c r="C34" s="155">
        <v>15</v>
      </c>
      <c r="D34" s="156"/>
      <c r="E34" s="155">
        <v>15</v>
      </c>
      <c r="F34" s="156"/>
      <c r="G34" s="69"/>
      <c r="H34" s="69"/>
    </row>
    <row r="35" spans="1:8" ht="38.25" x14ac:dyDescent="0.25">
      <c r="A35" s="17"/>
      <c r="B35" s="68" t="s">
        <v>87</v>
      </c>
      <c r="C35" s="155">
        <v>200</v>
      </c>
      <c r="D35" s="156"/>
      <c r="E35" s="155">
        <v>200</v>
      </c>
      <c r="F35" s="156"/>
      <c r="G35" s="69">
        <v>200</v>
      </c>
      <c r="H35" s="69">
        <v>200</v>
      </c>
    </row>
    <row r="36" spans="1:8" ht="25.5" x14ac:dyDescent="0.25">
      <c r="A36" s="17"/>
      <c r="B36" s="68" t="s">
        <v>88</v>
      </c>
      <c r="C36" s="155" t="s">
        <v>89</v>
      </c>
      <c r="D36" s="156"/>
      <c r="E36" s="155">
        <v>70</v>
      </c>
      <c r="F36" s="156"/>
      <c r="G36" s="87">
        <f>52+40</f>
        <v>92</v>
      </c>
      <c r="H36" s="69">
        <f>38+25</f>
        <v>63</v>
      </c>
    </row>
    <row r="37" spans="1:8" ht="25.5" x14ac:dyDescent="0.25">
      <c r="A37" s="17"/>
      <c r="B37" s="68" t="s">
        <v>90</v>
      </c>
      <c r="C37" s="155" t="s">
        <v>91</v>
      </c>
      <c r="D37" s="156"/>
      <c r="E37" s="155">
        <v>35</v>
      </c>
      <c r="F37" s="156"/>
      <c r="G37" s="69"/>
      <c r="H37" s="69"/>
    </row>
    <row r="38" spans="1:8" x14ac:dyDescent="0.25">
      <c r="A38" s="17"/>
      <c r="B38" s="68" t="s">
        <v>92</v>
      </c>
      <c r="C38" s="155">
        <v>60</v>
      </c>
      <c r="D38" s="156"/>
      <c r="E38" s="155">
        <v>58</v>
      </c>
      <c r="F38" s="156"/>
      <c r="G38" s="69"/>
      <c r="H38" s="69"/>
    </row>
    <row r="39" spans="1:8" x14ac:dyDescent="0.25">
      <c r="A39" s="17"/>
      <c r="B39" s="68" t="s">
        <v>93</v>
      </c>
      <c r="C39" s="155">
        <v>15</v>
      </c>
      <c r="D39" s="156"/>
      <c r="E39" s="155">
        <v>14.7</v>
      </c>
      <c r="F39" s="156"/>
      <c r="G39" s="69"/>
      <c r="H39" s="69"/>
    </row>
    <row r="40" spans="1:8" ht="25.5" x14ac:dyDescent="0.25">
      <c r="A40" s="17"/>
      <c r="B40" s="68" t="s">
        <v>94</v>
      </c>
      <c r="C40" s="155">
        <v>300</v>
      </c>
      <c r="D40" s="156"/>
      <c r="E40" s="155">
        <v>300</v>
      </c>
      <c r="F40" s="156"/>
      <c r="G40" s="69"/>
      <c r="H40" s="69"/>
    </row>
    <row r="41" spans="1:8" ht="38.25" x14ac:dyDescent="0.25">
      <c r="A41" s="17"/>
      <c r="B41" s="68" t="s">
        <v>95</v>
      </c>
      <c r="C41" s="155">
        <v>150</v>
      </c>
      <c r="D41" s="156"/>
      <c r="E41" s="155">
        <v>150</v>
      </c>
      <c r="F41" s="156"/>
      <c r="G41" s="69"/>
      <c r="H41" s="69"/>
    </row>
    <row r="42" spans="1:8" ht="25.5" x14ac:dyDescent="0.25">
      <c r="A42" s="17"/>
      <c r="B42" s="68" t="s">
        <v>96</v>
      </c>
      <c r="C42" s="155">
        <v>50</v>
      </c>
      <c r="D42" s="156"/>
      <c r="E42" s="155">
        <v>50</v>
      </c>
      <c r="F42" s="156"/>
      <c r="G42" s="69"/>
      <c r="H42" s="69"/>
    </row>
    <row r="43" spans="1:8" x14ac:dyDescent="0.25">
      <c r="A43" s="17"/>
      <c r="B43" s="68" t="s">
        <v>97</v>
      </c>
      <c r="C43" s="155">
        <v>10</v>
      </c>
      <c r="D43" s="156"/>
      <c r="E43" s="155">
        <v>9.8000000000000007</v>
      </c>
      <c r="F43" s="156"/>
      <c r="G43" s="69"/>
      <c r="H43" s="87"/>
    </row>
    <row r="44" spans="1:8" ht="25.5" x14ac:dyDescent="0.25">
      <c r="A44" s="17"/>
      <c r="B44" s="68" t="s">
        <v>98</v>
      </c>
      <c r="C44" s="155">
        <v>10</v>
      </c>
      <c r="D44" s="156"/>
      <c r="E44" s="155">
        <v>10</v>
      </c>
      <c r="F44" s="156"/>
      <c r="G44" s="74">
        <v>12.5</v>
      </c>
      <c r="H44" s="74"/>
    </row>
    <row r="45" spans="1:8" x14ac:dyDescent="0.25">
      <c r="A45" s="17"/>
      <c r="B45" s="68" t="s">
        <v>99</v>
      </c>
      <c r="C45" s="155">
        <v>30</v>
      </c>
      <c r="D45" s="156"/>
      <c r="E45" s="155">
        <v>30</v>
      </c>
      <c r="F45" s="156"/>
      <c r="G45" s="69"/>
      <c r="H45" s="69"/>
    </row>
    <row r="46" spans="1:8" x14ac:dyDescent="0.25">
      <c r="A46" s="17"/>
      <c r="B46" s="68" t="s">
        <v>100</v>
      </c>
      <c r="C46" s="155">
        <v>15</v>
      </c>
      <c r="D46" s="156"/>
      <c r="E46" s="155">
        <v>15</v>
      </c>
      <c r="F46" s="156"/>
      <c r="G46" s="69">
        <f>6+3+3+5</f>
        <v>17</v>
      </c>
      <c r="H46" s="69">
        <v>17</v>
      </c>
    </row>
    <row r="47" spans="1:8" x14ac:dyDescent="0.25">
      <c r="A47" s="17"/>
      <c r="B47" s="68" t="s">
        <v>101</v>
      </c>
      <c r="C47" s="155" t="s">
        <v>102</v>
      </c>
      <c r="D47" s="156"/>
      <c r="E47" s="155">
        <v>40</v>
      </c>
      <c r="F47" s="156"/>
      <c r="G47" s="69"/>
      <c r="H47" s="69"/>
    </row>
    <row r="48" spans="1:8" x14ac:dyDescent="0.25">
      <c r="A48" s="17"/>
      <c r="B48" s="68" t="s">
        <v>103</v>
      </c>
      <c r="C48" s="155">
        <v>40</v>
      </c>
      <c r="D48" s="156"/>
      <c r="E48" s="159">
        <v>40</v>
      </c>
      <c r="F48" s="160"/>
      <c r="G48" s="69"/>
      <c r="H48" s="69"/>
    </row>
    <row r="49" spans="1:8" x14ac:dyDescent="0.25">
      <c r="A49" s="17"/>
      <c r="B49" s="68" t="s">
        <v>104</v>
      </c>
      <c r="C49" s="159">
        <v>10</v>
      </c>
      <c r="D49" s="160"/>
      <c r="E49" s="155">
        <v>10</v>
      </c>
      <c r="F49" s="156"/>
      <c r="G49" s="69"/>
      <c r="H49" s="69"/>
    </row>
    <row r="50" spans="1:8" x14ac:dyDescent="0.25">
      <c r="A50" s="17"/>
      <c r="B50" s="68" t="s">
        <v>105</v>
      </c>
      <c r="C50" s="155">
        <v>0.4</v>
      </c>
      <c r="D50" s="156"/>
      <c r="E50" s="155">
        <v>0.4</v>
      </c>
      <c r="F50" s="156"/>
      <c r="G50" s="69"/>
      <c r="H50" s="69"/>
    </row>
    <row r="51" spans="1:8" x14ac:dyDescent="0.25">
      <c r="A51" s="17"/>
      <c r="B51" s="68" t="s">
        <v>106</v>
      </c>
      <c r="C51" s="155">
        <v>1.2</v>
      </c>
      <c r="D51" s="156"/>
      <c r="E51" s="155">
        <v>1.2</v>
      </c>
      <c r="F51" s="156"/>
      <c r="G51" s="69"/>
      <c r="H51" s="69"/>
    </row>
    <row r="52" spans="1:8" x14ac:dyDescent="0.25">
      <c r="A52" s="17"/>
      <c r="B52" s="68" t="s">
        <v>107</v>
      </c>
      <c r="C52" s="155">
        <v>1</v>
      </c>
      <c r="D52" s="156"/>
      <c r="E52" s="155">
        <v>1</v>
      </c>
      <c r="F52" s="156"/>
      <c r="G52" s="69"/>
      <c r="H52" s="69"/>
    </row>
    <row r="53" spans="1:8" x14ac:dyDescent="0.25">
      <c r="A53" s="17"/>
      <c r="B53" s="68" t="s">
        <v>108</v>
      </c>
      <c r="C53" s="155">
        <v>5</v>
      </c>
      <c r="D53" s="156"/>
      <c r="E53" s="155">
        <v>5</v>
      </c>
      <c r="F53" s="156"/>
      <c r="G53" s="69">
        <v>3.56</v>
      </c>
      <c r="H53" s="69">
        <v>3.56</v>
      </c>
    </row>
    <row r="54" spans="1:8" x14ac:dyDescent="0.25">
      <c r="A54" s="17"/>
      <c r="B54" s="17"/>
      <c r="C54" s="17"/>
      <c r="D54" s="17"/>
      <c r="E54" s="17"/>
      <c r="F54" s="17"/>
      <c r="G54" s="17"/>
      <c r="H54" s="17"/>
    </row>
    <row r="55" spans="1:8" x14ac:dyDescent="0.25">
      <c r="A55" s="17"/>
      <c r="B55" s="17"/>
      <c r="C55" s="17"/>
      <c r="D55" s="17"/>
      <c r="E55" s="17"/>
      <c r="F55" s="17"/>
      <c r="G55" s="17"/>
      <c r="H55" s="17"/>
    </row>
  </sheetData>
  <sheetProtection formatCells="0" formatColumns="0" formatRows="0" insertColumns="0" insertRows="0" insertHyperlinks="0" deleteColumns="0" deleteRows="0" sort="0" autoFilter="0" pivotTables="0"/>
  <mergeCells count="76">
    <mergeCell ref="E53:F53"/>
    <mergeCell ref="E44:F44"/>
    <mergeCell ref="E45:F45"/>
    <mergeCell ref="E46:F46"/>
    <mergeCell ref="C33:D33"/>
    <mergeCell ref="E34:F34"/>
    <mergeCell ref="E35:F35"/>
    <mergeCell ref="E47:F47"/>
    <mergeCell ref="E48:F48"/>
    <mergeCell ref="E39:F39"/>
    <mergeCell ref="C53:D53"/>
    <mergeCell ref="C52:D52"/>
    <mergeCell ref="C51:D51"/>
    <mergeCell ref="C50:D50"/>
    <mergeCell ref="C49:D49"/>
    <mergeCell ref="C48:D48"/>
    <mergeCell ref="C32:D32"/>
    <mergeCell ref="C31:D31"/>
    <mergeCell ref="C30:D30"/>
    <mergeCell ref="C29:D29"/>
    <mergeCell ref="C38:D38"/>
    <mergeCell ref="C37:D37"/>
    <mergeCell ref="C36:D36"/>
    <mergeCell ref="C35:D35"/>
    <mergeCell ref="C34:D34"/>
    <mergeCell ref="E29:F29"/>
    <mergeCell ref="E30:F30"/>
    <mergeCell ref="E31:F31"/>
    <mergeCell ref="E32:F32"/>
    <mergeCell ref="E33:F33"/>
    <mergeCell ref="C42:D42"/>
    <mergeCell ref="C41:D41"/>
    <mergeCell ref="C40:D40"/>
    <mergeCell ref="C39:D39"/>
    <mergeCell ref="E50:F50"/>
    <mergeCell ref="C47:D47"/>
    <mergeCell ref="C46:D46"/>
    <mergeCell ref="C45:D45"/>
    <mergeCell ref="C44:D44"/>
    <mergeCell ref="C43:D43"/>
    <mergeCell ref="E51:F51"/>
    <mergeCell ref="E49:F49"/>
    <mergeCell ref="E52:F52"/>
    <mergeCell ref="E42:F42"/>
    <mergeCell ref="E43:F43"/>
    <mergeCell ref="E36:F36"/>
    <mergeCell ref="E37:F37"/>
    <mergeCell ref="E38:F38"/>
    <mergeCell ref="E40:F40"/>
    <mergeCell ref="E41:F41"/>
    <mergeCell ref="C26:D26"/>
    <mergeCell ref="E26:F26"/>
    <mergeCell ref="C28:D28"/>
    <mergeCell ref="C27:D27"/>
    <mergeCell ref="E27:F27"/>
    <mergeCell ref="E28:F28"/>
    <mergeCell ref="B22:H22"/>
    <mergeCell ref="C23:F23"/>
    <mergeCell ref="B24:B25"/>
    <mergeCell ref="C24:D24"/>
    <mergeCell ref="E24:F24"/>
    <mergeCell ref="G23:H23"/>
    <mergeCell ref="E25:F25"/>
    <mergeCell ref="C25:D25"/>
    <mergeCell ref="B17:E18"/>
    <mergeCell ref="F17:H17"/>
    <mergeCell ref="B19:E19"/>
    <mergeCell ref="B20:E20"/>
    <mergeCell ref="A7:O7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6" fitToWidth="2" fitToHeight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O73"/>
  <sheetViews>
    <sheetView view="pageBreakPreview" topLeftCell="A28" zoomScale="80" zoomScaleNormal="90" zoomScaleSheetLayoutView="80" workbookViewId="0">
      <selection activeCell="H50" sqref="H50"/>
    </sheetView>
  </sheetViews>
  <sheetFormatPr defaultRowHeight="15" x14ac:dyDescent="0.25"/>
  <cols>
    <col min="1" max="1" width="12.7109375" bestFit="1" customWidth="1"/>
    <col min="2" max="2" width="24.5703125" customWidth="1"/>
    <col min="7" max="7" width="12.7109375" customWidth="1"/>
    <col min="10" max="10" width="10.140625" bestFit="1" customWidth="1"/>
  </cols>
  <sheetData>
    <row r="1" spans="1:15" ht="15.75" x14ac:dyDescent="0.25">
      <c r="A1" s="12" t="s">
        <v>40</v>
      </c>
      <c r="B1" s="11" t="s">
        <v>52</v>
      </c>
    </row>
    <row r="2" spans="1:15" ht="15.75" x14ac:dyDescent="0.25">
      <c r="A2" s="12" t="s">
        <v>42</v>
      </c>
      <c r="B2" s="11" t="s">
        <v>43</v>
      </c>
    </row>
    <row r="3" spans="1:15" ht="15.75" x14ac:dyDescent="0.25">
      <c r="A3" s="12" t="s">
        <v>44</v>
      </c>
      <c r="B3" s="11" t="s">
        <v>45</v>
      </c>
    </row>
    <row r="4" spans="1:15" ht="31.5" x14ac:dyDescent="0.25">
      <c r="A4" s="12" t="s">
        <v>46</v>
      </c>
      <c r="B4" s="11" t="s">
        <v>47</v>
      </c>
    </row>
    <row r="5" spans="1:15" ht="15.75" x14ac:dyDescent="0.25">
      <c r="A5" s="216" t="s">
        <v>29</v>
      </c>
      <c r="B5" s="216" t="s">
        <v>19</v>
      </c>
      <c r="C5" s="216" t="s">
        <v>21</v>
      </c>
      <c r="D5" s="213" t="s">
        <v>32</v>
      </c>
      <c r="E5" s="214"/>
      <c r="F5" s="215"/>
      <c r="G5" s="216" t="s">
        <v>0</v>
      </c>
      <c r="H5" s="213" t="s">
        <v>31</v>
      </c>
      <c r="I5" s="214"/>
      <c r="J5" s="214"/>
      <c r="K5" s="215"/>
      <c r="L5" s="213" t="s">
        <v>30</v>
      </c>
      <c r="M5" s="214"/>
      <c r="N5" s="214"/>
      <c r="O5" s="215"/>
    </row>
    <row r="6" spans="1:15" ht="15.75" x14ac:dyDescent="0.25">
      <c r="A6" s="217"/>
      <c r="B6" s="218"/>
      <c r="C6" s="219"/>
      <c r="D6" s="8" t="s">
        <v>1</v>
      </c>
      <c r="E6" s="8" t="s">
        <v>2</v>
      </c>
      <c r="F6" s="8" t="s">
        <v>3</v>
      </c>
      <c r="G6" s="217"/>
      <c r="H6" s="8" t="s">
        <v>18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</row>
    <row r="7" spans="1:15" s="13" customFormat="1" ht="18.75" x14ac:dyDescent="0.25">
      <c r="B7" s="47"/>
      <c r="C7" s="47"/>
      <c r="D7" s="47"/>
      <c r="E7" s="47"/>
      <c r="F7" s="47"/>
      <c r="G7" s="44" t="s">
        <v>20</v>
      </c>
      <c r="H7" s="47"/>
      <c r="I7" s="47"/>
      <c r="J7" s="47"/>
      <c r="K7" s="47"/>
      <c r="L7" s="47"/>
      <c r="M7" s="47"/>
      <c r="N7" s="47"/>
      <c r="O7" s="48"/>
    </row>
    <row r="8" spans="1:15" s="13" customFormat="1" ht="25.5" x14ac:dyDescent="0.25">
      <c r="A8" s="14">
        <v>45</v>
      </c>
      <c r="B8" s="9" t="s">
        <v>57</v>
      </c>
      <c r="C8" s="14">
        <v>100</v>
      </c>
      <c r="D8" s="15">
        <f>13.12/10</f>
        <v>1.3119999999999998</v>
      </c>
      <c r="E8" s="15">
        <f>32.49/10</f>
        <v>3.2490000000000001</v>
      </c>
      <c r="F8" s="15">
        <f>6.5</f>
        <v>6.5</v>
      </c>
      <c r="G8" s="15">
        <v>60.4</v>
      </c>
      <c r="H8" s="15">
        <v>0.02</v>
      </c>
      <c r="I8" s="15">
        <v>17.010000000000002</v>
      </c>
      <c r="J8" s="15"/>
      <c r="K8" s="15">
        <v>8.39</v>
      </c>
      <c r="L8" s="15">
        <v>24.97</v>
      </c>
      <c r="M8" s="15">
        <v>28.3</v>
      </c>
      <c r="N8" s="15">
        <v>15.09</v>
      </c>
      <c r="O8" s="15">
        <v>0.47</v>
      </c>
    </row>
    <row r="9" spans="1:15" s="26" customFormat="1" ht="38.25" x14ac:dyDescent="0.2">
      <c r="A9" s="14">
        <v>102</v>
      </c>
      <c r="B9" s="9" t="s">
        <v>110</v>
      </c>
      <c r="C9" s="14">
        <v>250</v>
      </c>
      <c r="D9" s="15">
        <f>0.7 +4.9</f>
        <v>5.6000000000000005</v>
      </c>
      <c r="E9" s="15">
        <f xml:space="preserve"> 0.175+10.66</f>
        <v>10.835000000000001</v>
      </c>
      <c r="F9" s="15">
        <v>19.23</v>
      </c>
      <c r="G9" s="15">
        <v>144.43</v>
      </c>
      <c r="H9" s="15">
        <v>0.15</v>
      </c>
      <c r="I9" s="15">
        <v>5.83</v>
      </c>
      <c r="J9" s="15"/>
      <c r="K9" s="15">
        <v>2.4500000000000002</v>
      </c>
      <c r="L9" s="15">
        <f>(10/1000*175)+41.48</f>
        <v>43.23</v>
      </c>
      <c r="M9" s="15">
        <v>137.78</v>
      </c>
      <c r="N9" s="15">
        <v>38.25</v>
      </c>
      <c r="O9" s="15">
        <v>1.83</v>
      </c>
    </row>
    <row r="10" spans="1:15" s="13" customFormat="1" ht="25.5" x14ac:dyDescent="0.25">
      <c r="A10" s="14">
        <v>261</v>
      </c>
      <c r="B10" s="9" t="s">
        <v>116</v>
      </c>
      <c r="C10" s="14">
        <v>100</v>
      </c>
      <c r="D10" s="15">
        <v>13.26</v>
      </c>
      <c r="E10" s="15">
        <v>8.82</v>
      </c>
      <c r="F10" s="15">
        <v>2.62</v>
      </c>
      <c r="G10" s="15">
        <v>160</v>
      </c>
      <c r="H10" s="15">
        <v>0.19</v>
      </c>
      <c r="I10" s="15">
        <v>24.77</v>
      </c>
      <c r="J10" s="15">
        <v>2337</v>
      </c>
      <c r="K10" s="15">
        <v>2.59</v>
      </c>
      <c r="L10" s="15">
        <v>25.62</v>
      </c>
      <c r="M10" s="15">
        <v>245.55</v>
      </c>
      <c r="N10" s="15">
        <v>16.829999999999998</v>
      </c>
      <c r="O10" s="15">
        <v>13.51</v>
      </c>
    </row>
    <row r="11" spans="1:15" s="13" customFormat="1" x14ac:dyDescent="0.25">
      <c r="A11" s="14">
        <v>312</v>
      </c>
      <c r="B11" s="9" t="s">
        <v>13</v>
      </c>
      <c r="C11" s="14">
        <v>150</v>
      </c>
      <c r="D11" s="15">
        <f>20.473/100*15</f>
        <v>3.0709499999999998</v>
      </c>
      <c r="E11" s="15">
        <f>32.01/100/15</f>
        <v>2.1340000000000001E-2</v>
      </c>
      <c r="F11" s="15">
        <f>136.26/100*15</f>
        <v>20.438999999999997</v>
      </c>
      <c r="G11" s="15">
        <f>915/100*15</f>
        <v>137.25</v>
      </c>
      <c r="H11" s="15">
        <f>0.93/100*15</f>
        <v>0.13950000000000001</v>
      </c>
      <c r="I11" s="15">
        <f>121.07/100*15</f>
        <v>18.160499999999999</v>
      </c>
      <c r="J11" s="15"/>
      <c r="K11" s="15">
        <f>1.21/100*15</f>
        <v>0.18149999999999999</v>
      </c>
      <c r="L11" s="15">
        <f>246.5/100*15</f>
        <v>36.974999999999994</v>
      </c>
      <c r="M11" s="15">
        <f>577.3/100*15</f>
        <v>86.594999999999999</v>
      </c>
      <c r="N11" s="15">
        <f>185/100*15</f>
        <v>27.75</v>
      </c>
      <c r="O11" s="15">
        <f>6.73/100*15</f>
        <v>1.0095000000000001</v>
      </c>
    </row>
    <row r="12" spans="1:15" s="13" customFormat="1" x14ac:dyDescent="0.25">
      <c r="A12" s="105">
        <v>375</v>
      </c>
      <c r="B12" s="9" t="s">
        <v>127</v>
      </c>
      <c r="C12" s="14">
        <v>200</v>
      </c>
      <c r="D12" s="15">
        <f>2/5</f>
        <v>0.4</v>
      </c>
      <c r="E12" s="15">
        <f>0.51/5</f>
        <v>0.10200000000000001</v>
      </c>
      <c r="F12" s="15">
        <f>0.4/5</f>
        <v>0.08</v>
      </c>
      <c r="G12" s="15">
        <f>32/5</f>
        <v>6.4</v>
      </c>
      <c r="H12" s="15">
        <f>0.01/5</f>
        <v>2E-3</v>
      </c>
      <c r="I12" s="15">
        <f>1/5</f>
        <v>0.2</v>
      </c>
      <c r="J12" s="15">
        <f>0</f>
        <v>0</v>
      </c>
      <c r="K12" s="15">
        <f>0</f>
        <v>0</v>
      </c>
      <c r="L12" s="15">
        <f>98.1/5</f>
        <v>19.619999999999997</v>
      </c>
      <c r="M12" s="15">
        <f>82.4/5</f>
        <v>16.48</v>
      </c>
      <c r="N12" s="15">
        <f>44/5</f>
        <v>8.8000000000000007</v>
      </c>
      <c r="O12" s="15">
        <f>8.2/5</f>
        <v>1.64</v>
      </c>
    </row>
    <row r="13" spans="1:15" s="13" customFormat="1" x14ac:dyDescent="0.25">
      <c r="A13" s="42"/>
      <c r="B13" s="9" t="s">
        <v>14</v>
      </c>
      <c r="C13" s="14">
        <v>40</v>
      </c>
      <c r="D13" s="15">
        <v>2.2400000000000002</v>
      </c>
      <c r="E13" s="15">
        <v>0.88</v>
      </c>
      <c r="F13" s="15">
        <v>19.760000000000002</v>
      </c>
      <c r="G13" s="15">
        <v>91.96</v>
      </c>
      <c r="H13" s="15">
        <v>0.04</v>
      </c>
      <c r="I13" s="15"/>
      <c r="J13" s="15"/>
      <c r="K13" s="15">
        <v>0.36</v>
      </c>
      <c r="L13" s="15">
        <v>9.1999999999999993</v>
      </c>
      <c r="M13" s="15">
        <v>42.4</v>
      </c>
      <c r="N13" s="15">
        <v>10</v>
      </c>
      <c r="O13" s="15">
        <v>1.24</v>
      </c>
    </row>
    <row r="14" spans="1:15" s="13" customFormat="1" x14ac:dyDescent="0.25">
      <c r="A14" s="42"/>
      <c r="B14" s="9" t="s">
        <v>76</v>
      </c>
      <c r="C14" s="92">
        <v>40</v>
      </c>
      <c r="D14" s="15">
        <v>3.16</v>
      </c>
      <c r="E14" s="15">
        <v>0.4</v>
      </c>
      <c r="F14" s="15">
        <v>19.32</v>
      </c>
      <c r="G14" s="15">
        <v>93.52</v>
      </c>
      <c r="H14" s="15">
        <v>0.04</v>
      </c>
      <c r="I14" s="15"/>
      <c r="J14" s="15"/>
      <c r="K14" s="15">
        <v>0.52</v>
      </c>
      <c r="L14" s="15">
        <v>9.1999999999999993</v>
      </c>
      <c r="M14" s="15">
        <v>34.799999999999997</v>
      </c>
      <c r="N14" s="15">
        <v>13.2</v>
      </c>
      <c r="O14" s="15">
        <v>0.44</v>
      </c>
    </row>
    <row r="15" spans="1:15" s="13" customFormat="1" x14ac:dyDescent="0.25">
      <c r="A15" s="93" t="s">
        <v>11</v>
      </c>
      <c r="B15" s="94"/>
      <c r="C15" s="94"/>
      <c r="D15" s="102">
        <f>SUM(D8:D14)</f>
        <v>29.042950000000001</v>
      </c>
      <c r="E15" s="102">
        <f t="shared" ref="E15:G15" si="0">SUM(E8:E14)</f>
        <v>24.30734</v>
      </c>
      <c r="F15" s="102">
        <f t="shared" si="0"/>
        <v>87.949000000000012</v>
      </c>
      <c r="G15" s="102">
        <f t="shared" si="0"/>
        <v>693.96</v>
      </c>
      <c r="H15" s="102"/>
      <c r="I15" s="102"/>
      <c r="J15" s="102"/>
      <c r="K15" s="102"/>
      <c r="L15" s="102"/>
      <c r="M15" s="102"/>
      <c r="N15" s="102"/>
      <c r="O15" s="102"/>
    </row>
    <row r="16" spans="1:15" ht="15.75" thickBot="1" x14ac:dyDescent="0.3"/>
    <row r="17" spans="1:15" ht="39" thickBot="1" x14ac:dyDescent="0.3">
      <c r="A17" s="17"/>
      <c r="B17" s="17"/>
      <c r="C17" s="133" t="s">
        <v>58</v>
      </c>
      <c r="D17" s="134"/>
      <c r="E17" s="134"/>
      <c r="F17" s="134"/>
      <c r="G17" s="137" t="s">
        <v>59</v>
      </c>
      <c r="H17" s="138"/>
      <c r="I17" s="139"/>
      <c r="J17" s="32" t="s">
        <v>60</v>
      </c>
      <c r="K17" s="17"/>
      <c r="L17" s="17"/>
      <c r="M17" s="17"/>
      <c r="N17" s="17"/>
      <c r="O17" s="17"/>
    </row>
    <row r="18" spans="1:15" s="13" customFormat="1" ht="15.75" thickBot="1" x14ac:dyDescent="0.3">
      <c r="A18" s="36"/>
      <c r="B18" s="37"/>
      <c r="C18" s="135"/>
      <c r="D18" s="136"/>
      <c r="E18" s="136"/>
      <c r="F18" s="136"/>
      <c r="G18" s="33" t="s">
        <v>1</v>
      </c>
      <c r="H18" s="33" t="s">
        <v>2</v>
      </c>
      <c r="I18" s="33" t="s">
        <v>3</v>
      </c>
      <c r="J18" s="34"/>
      <c r="K18" s="38"/>
      <c r="L18" s="38"/>
      <c r="M18" s="38"/>
      <c r="N18" s="38"/>
      <c r="O18" s="38"/>
    </row>
    <row r="19" spans="1:15" ht="15.75" thickBot="1" x14ac:dyDescent="0.3">
      <c r="A19" s="17"/>
      <c r="B19" s="17"/>
      <c r="C19" s="140" t="s">
        <v>62</v>
      </c>
      <c r="D19" s="141"/>
      <c r="E19" s="141"/>
      <c r="F19" s="141"/>
      <c r="G19" s="33" t="s">
        <v>63</v>
      </c>
      <c r="H19" s="33" t="s">
        <v>64</v>
      </c>
      <c r="I19" s="33" t="s">
        <v>65</v>
      </c>
      <c r="J19" s="33" t="s">
        <v>66</v>
      </c>
      <c r="K19" s="17"/>
      <c r="L19" s="17"/>
      <c r="M19" s="17"/>
      <c r="N19" s="17"/>
      <c r="O19" s="17"/>
    </row>
    <row r="20" spans="1:15" ht="15.75" thickBot="1" x14ac:dyDescent="0.3">
      <c r="A20" s="17"/>
      <c r="B20" s="17"/>
      <c r="C20" s="140" t="s">
        <v>61</v>
      </c>
      <c r="D20" s="141"/>
      <c r="E20" s="141"/>
      <c r="F20" s="141"/>
      <c r="G20" s="35">
        <f>D15</f>
        <v>29.042950000000001</v>
      </c>
      <c r="H20" s="35">
        <f>E15</f>
        <v>24.30734</v>
      </c>
      <c r="I20" s="35">
        <f>F15</f>
        <v>87.949000000000012</v>
      </c>
      <c r="J20" s="35">
        <f>G15</f>
        <v>693.96</v>
      </c>
      <c r="K20" s="17"/>
      <c r="L20" s="17"/>
      <c r="M20" s="17"/>
      <c r="N20" s="17"/>
      <c r="O20" s="17"/>
    </row>
    <row r="21" spans="1:15" x14ac:dyDescent="0.25">
      <c r="K21" s="17"/>
      <c r="L21" s="17"/>
      <c r="M21" s="17"/>
      <c r="N21" s="17"/>
      <c r="O21" s="17"/>
    </row>
    <row r="22" spans="1:15" ht="47.25" customHeight="1" x14ac:dyDescent="0.25">
      <c r="B22" s="152" t="s">
        <v>109</v>
      </c>
      <c r="C22" s="152"/>
      <c r="D22" s="152"/>
      <c r="E22" s="152"/>
      <c r="F22" s="152"/>
      <c r="G22" s="152"/>
      <c r="H22" s="152"/>
    </row>
    <row r="23" spans="1:15" ht="27" customHeight="1" x14ac:dyDescent="0.25">
      <c r="B23" s="67" t="s">
        <v>71</v>
      </c>
      <c r="C23" s="147" t="s">
        <v>72</v>
      </c>
      <c r="D23" s="147"/>
      <c r="E23" s="147"/>
      <c r="F23" s="147"/>
      <c r="G23" s="153" t="s">
        <v>123</v>
      </c>
      <c r="H23" s="154"/>
      <c r="K23" s="12" t="s">
        <v>40</v>
      </c>
      <c r="L23" s="11" t="s">
        <v>52</v>
      </c>
    </row>
    <row r="24" spans="1:15" ht="31.5" x14ac:dyDescent="0.25">
      <c r="B24" s="150"/>
      <c r="C24" s="148" t="s">
        <v>73</v>
      </c>
      <c r="D24" s="149"/>
      <c r="E24" s="148" t="s">
        <v>74</v>
      </c>
      <c r="F24" s="149"/>
      <c r="G24" s="67" t="s">
        <v>73</v>
      </c>
      <c r="H24" s="67" t="s">
        <v>74</v>
      </c>
      <c r="K24" s="12" t="s">
        <v>42</v>
      </c>
      <c r="L24" s="11" t="s">
        <v>43</v>
      </c>
    </row>
    <row r="25" spans="1:15" ht="30" x14ac:dyDescent="0.25">
      <c r="B25" s="151"/>
      <c r="C25" s="148" t="s">
        <v>47</v>
      </c>
      <c r="D25" s="149"/>
      <c r="E25" s="148" t="s">
        <v>47</v>
      </c>
      <c r="F25" s="149"/>
      <c r="G25" s="67" t="s">
        <v>47</v>
      </c>
      <c r="H25" s="67" t="s">
        <v>47</v>
      </c>
      <c r="K25" s="12" t="s">
        <v>44</v>
      </c>
      <c r="L25" s="11" t="s">
        <v>45</v>
      </c>
    </row>
    <row r="26" spans="1:15" ht="63" x14ac:dyDescent="0.25">
      <c r="B26" s="68" t="s">
        <v>75</v>
      </c>
      <c r="C26" s="155">
        <v>80</v>
      </c>
      <c r="D26" s="156"/>
      <c r="E26" s="155">
        <v>80</v>
      </c>
      <c r="F26" s="156"/>
      <c r="G26" s="69">
        <v>40</v>
      </c>
      <c r="H26" s="69">
        <v>40</v>
      </c>
      <c r="K26" s="12" t="s">
        <v>46</v>
      </c>
      <c r="L26" s="11" t="s">
        <v>47</v>
      </c>
    </row>
    <row r="27" spans="1:15" x14ac:dyDescent="0.25">
      <c r="B27" s="68" t="s">
        <v>76</v>
      </c>
      <c r="C27" s="155">
        <v>150</v>
      </c>
      <c r="D27" s="156"/>
      <c r="E27" s="155">
        <v>150</v>
      </c>
      <c r="F27" s="156"/>
      <c r="G27" s="69">
        <v>40</v>
      </c>
      <c r="H27" s="69">
        <v>40</v>
      </c>
    </row>
    <row r="28" spans="1:15" x14ac:dyDescent="0.25">
      <c r="B28" s="68" t="s">
        <v>77</v>
      </c>
      <c r="C28" s="155">
        <v>15</v>
      </c>
      <c r="D28" s="156"/>
      <c r="E28" s="155">
        <v>15</v>
      </c>
      <c r="F28" s="156"/>
      <c r="G28" s="69">
        <f>3+3.75+2.8</f>
        <v>9.5500000000000007</v>
      </c>
      <c r="H28" s="69">
        <f>9.55</f>
        <v>9.5500000000000007</v>
      </c>
    </row>
    <row r="29" spans="1:15" x14ac:dyDescent="0.25">
      <c r="B29" s="70" t="s">
        <v>78</v>
      </c>
      <c r="C29" s="157">
        <v>45</v>
      </c>
      <c r="D29" s="158"/>
      <c r="E29" s="157">
        <v>45</v>
      </c>
      <c r="F29" s="158"/>
      <c r="G29" s="71">
        <f>21+31</f>
        <v>52</v>
      </c>
      <c r="H29" s="71">
        <v>52</v>
      </c>
    </row>
    <row r="30" spans="1:15" x14ac:dyDescent="0.25">
      <c r="B30" s="68" t="s">
        <v>79</v>
      </c>
      <c r="C30" s="155">
        <v>15</v>
      </c>
      <c r="D30" s="156"/>
      <c r="E30" s="155">
        <v>15</v>
      </c>
      <c r="F30" s="156"/>
      <c r="G30" s="69"/>
      <c r="H30" s="69"/>
    </row>
    <row r="31" spans="1:15" x14ac:dyDescent="0.25">
      <c r="B31" s="68" t="s">
        <v>80</v>
      </c>
      <c r="C31" s="155" t="s">
        <v>81</v>
      </c>
      <c r="D31" s="156"/>
      <c r="E31" s="159">
        <v>188</v>
      </c>
      <c r="F31" s="160"/>
      <c r="G31" s="69">
        <f>67+171</f>
        <v>238</v>
      </c>
      <c r="H31" s="69">
        <f>50+129</f>
        <v>179</v>
      </c>
    </row>
    <row r="32" spans="1:15" x14ac:dyDescent="0.25">
      <c r="B32" s="68" t="s">
        <v>82</v>
      </c>
      <c r="C32" s="155">
        <v>350</v>
      </c>
      <c r="D32" s="156"/>
      <c r="E32" s="155" t="s">
        <v>83</v>
      </c>
      <c r="F32" s="156"/>
      <c r="G32" s="69">
        <f>12+12.5+3.25+98.6+12.5</f>
        <v>138.85</v>
      </c>
      <c r="H32" s="87">
        <f>10+10+2.5+78.9+10</f>
        <v>111.4</v>
      </c>
    </row>
    <row r="33" spans="2:8" x14ac:dyDescent="0.25">
      <c r="B33" s="68" t="s">
        <v>84</v>
      </c>
      <c r="C33" s="155">
        <v>200</v>
      </c>
      <c r="D33" s="156"/>
      <c r="E33" s="155" t="s">
        <v>85</v>
      </c>
      <c r="F33" s="156"/>
      <c r="G33" s="69"/>
      <c r="H33" s="69"/>
    </row>
    <row r="34" spans="2:8" ht="25.5" x14ac:dyDescent="0.25">
      <c r="B34" s="68" t="s">
        <v>86</v>
      </c>
      <c r="C34" s="155">
        <v>15</v>
      </c>
      <c r="D34" s="156"/>
      <c r="E34" s="155">
        <v>15</v>
      </c>
      <c r="F34" s="156"/>
      <c r="G34" s="69"/>
      <c r="H34" s="69"/>
    </row>
    <row r="35" spans="2:8" ht="55.5" customHeight="1" x14ac:dyDescent="0.25">
      <c r="B35" s="68" t="s">
        <v>87</v>
      </c>
      <c r="C35" s="155">
        <v>200</v>
      </c>
      <c r="D35" s="156"/>
      <c r="E35" s="155">
        <v>200</v>
      </c>
      <c r="F35" s="156"/>
      <c r="G35" s="69"/>
      <c r="H35" s="69"/>
    </row>
    <row r="36" spans="2:8" ht="25.5" x14ac:dyDescent="0.25">
      <c r="B36" s="68" t="s">
        <v>88</v>
      </c>
      <c r="C36" s="155" t="s">
        <v>89</v>
      </c>
      <c r="D36" s="156"/>
      <c r="E36" s="155">
        <v>70</v>
      </c>
      <c r="F36" s="156"/>
      <c r="G36" s="69">
        <f>81+40</f>
        <v>121</v>
      </c>
      <c r="H36" s="69">
        <f>71+25</f>
        <v>96</v>
      </c>
    </row>
    <row r="37" spans="2:8" ht="38.25" x14ac:dyDescent="0.25">
      <c r="B37" s="68" t="s">
        <v>90</v>
      </c>
      <c r="C37" s="155" t="s">
        <v>91</v>
      </c>
      <c r="D37" s="156"/>
      <c r="E37" s="155">
        <v>35</v>
      </c>
      <c r="F37" s="156"/>
      <c r="G37" s="69"/>
      <c r="H37" s="69"/>
    </row>
    <row r="38" spans="2:8" x14ac:dyDescent="0.25">
      <c r="B38" s="68" t="s">
        <v>92</v>
      </c>
      <c r="C38" s="155">
        <v>60</v>
      </c>
      <c r="D38" s="156"/>
      <c r="E38" s="155">
        <v>58</v>
      </c>
      <c r="F38" s="156"/>
      <c r="G38" s="69"/>
      <c r="H38" s="69"/>
    </row>
    <row r="39" spans="2:8" x14ac:dyDescent="0.25">
      <c r="B39" s="68" t="s">
        <v>93</v>
      </c>
      <c r="C39" s="155">
        <v>15</v>
      </c>
      <c r="D39" s="156"/>
      <c r="E39" s="155">
        <v>14.7</v>
      </c>
      <c r="F39" s="156"/>
      <c r="G39" s="69"/>
      <c r="H39" s="69"/>
    </row>
    <row r="40" spans="2:8" ht="25.5" x14ac:dyDescent="0.25">
      <c r="B40" s="68" t="s">
        <v>94</v>
      </c>
      <c r="C40" s="155">
        <v>300</v>
      </c>
      <c r="D40" s="156"/>
      <c r="E40" s="155">
        <v>300</v>
      </c>
      <c r="F40" s="156"/>
      <c r="G40" s="69"/>
      <c r="H40" s="69"/>
    </row>
    <row r="41" spans="2:8" ht="38.25" x14ac:dyDescent="0.25">
      <c r="B41" s="68" t="s">
        <v>95</v>
      </c>
      <c r="C41" s="155">
        <v>150</v>
      </c>
      <c r="D41" s="156"/>
      <c r="E41" s="155">
        <v>150</v>
      </c>
      <c r="F41" s="156"/>
      <c r="G41" s="69"/>
      <c r="H41" s="69"/>
    </row>
    <row r="42" spans="2:8" ht="25.5" x14ac:dyDescent="0.25">
      <c r="B42" s="68" t="s">
        <v>96</v>
      </c>
      <c r="C42" s="155">
        <v>50</v>
      </c>
      <c r="D42" s="156"/>
      <c r="E42" s="155">
        <v>50</v>
      </c>
      <c r="F42" s="156"/>
      <c r="G42" s="69"/>
      <c r="H42" s="69"/>
    </row>
    <row r="43" spans="2:8" x14ac:dyDescent="0.25">
      <c r="B43" s="68" t="s">
        <v>97</v>
      </c>
      <c r="C43" s="155">
        <v>10</v>
      </c>
      <c r="D43" s="156"/>
      <c r="E43" s="155">
        <v>9.8000000000000007</v>
      </c>
      <c r="F43" s="156"/>
      <c r="G43" s="69"/>
      <c r="H43" s="87"/>
    </row>
    <row r="44" spans="2:8" ht="25.5" x14ac:dyDescent="0.25">
      <c r="B44" s="68" t="s">
        <v>98</v>
      </c>
      <c r="C44" s="155">
        <v>10</v>
      </c>
      <c r="D44" s="156"/>
      <c r="E44" s="155">
        <v>10</v>
      </c>
      <c r="F44" s="156"/>
      <c r="G44" s="74"/>
      <c r="H44" s="74"/>
    </row>
    <row r="45" spans="2:8" x14ac:dyDescent="0.25">
      <c r="B45" s="68" t="s">
        <v>99</v>
      </c>
      <c r="C45" s="155">
        <v>30</v>
      </c>
      <c r="D45" s="156"/>
      <c r="E45" s="155">
        <v>30</v>
      </c>
      <c r="F45" s="156"/>
      <c r="G45" s="69">
        <v>5</v>
      </c>
      <c r="H45" s="69">
        <v>5</v>
      </c>
    </row>
    <row r="46" spans="2:8" x14ac:dyDescent="0.25">
      <c r="B46" s="68" t="s">
        <v>100</v>
      </c>
      <c r="C46" s="155">
        <v>15</v>
      </c>
      <c r="D46" s="156"/>
      <c r="E46" s="155">
        <v>15</v>
      </c>
      <c r="F46" s="156"/>
      <c r="G46" s="69">
        <v>5</v>
      </c>
      <c r="H46" s="69">
        <v>5</v>
      </c>
    </row>
    <row r="47" spans="2:8" x14ac:dyDescent="0.25">
      <c r="B47" s="68" t="s">
        <v>101</v>
      </c>
      <c r="C47" s="155" t="s">
        <v>102</v>
      </c>
      <c r="D47" s="156"/>
      <c r="E47" s="155">
        <v>40</v>
      </c>
      <c r="F47" s="156"/>
      <c r="G47" s="69"/>
      <c r="H47" s="69"/>
    </row>
    <row r="48" spans="2:8" x14ac:dyDescent="0.25">
      <c r="B48" s="68" t="s">
        <v>103</v>
      </c>
      <c r="C48" s="155">
        <v>40</v>
      </c>
      <c r="D48" s="156"/>
      <c r="E48" s="159">
        <v>40</v>
      </c>
      <c r="F48" s="160"/>
      <c r="G48" s="69">
        <v>10</v>
      </c>
      <c r="H48" s="69">
        <v>10</v>
      </c>
    </row>
    <row r="49" spans="2:8" x14ac:dyDescent="0.25">
      <c r="B49" s="68" t="s">
        <v>104</v>
      </c>
      <c r="C49" s="159">
        <v>10</v>
      </c>
      <c r="D49" s="160"/>
      <c r="E49" s="155">
        <v>10</v>
      </c>
      <c r="F49" s="156"/>
      <c r="G49" s="69"/>
      <c r="H49" s="69"/>
    </row>
    <row r="50" spans="2:8" x14ac:dyDescent="0.25">
      <c r="B50" s="68" t="s">
        <v>105</v>
      </c>
      <c r="C50" s="155">
        <v>0.4</v>
      </c>
      <c r="D50" s="156"/>
      <c r="E50" s="155">
        <v>0.4</v>
      </c>
      <c r="F50" s="156"/>
      <c r="G50" s="69"/>
      <c r="H50" s="69"/>
    </row>
    <row r="51" spans="2:8" x14ac:dyDescent="0.25">
      <c r="B51" s="68" t="s">
        <v>106</v>
      </c>
      <c r="C51" s="155">
        <v>1.2</v>
      </c>
      <c r="D51" s="156"/>
      <c r="E51" s="155">
        <v>1.2</v>
      </c>
      <c r="F51" s="156"/>
      <c r="G51" s="69"/>
      <c r="H51" s="69"/>
    </row>
    <row r="52" spans="2:8" x14ac:dyDescent="0.25">
      <c r="B52" s="68" t="s">
        <v>107</v>
      </c>
      <c r="C52" s="155">
        <v>1</v>
      </c>
      <c r="D52" s="156"/>
      <c r="E52" s="155">
        <v>1</v>
      </c>
      <c r="F52" s="156"/>
      <c r="G52" s="69"/>
      <c r="H52" s="69"/>
    </row>
    <row r="53" spans="2:8" x14ac:dyDescent="0.25">
      <c r="B53" s="68" t="s">
        <v>108</v>
      </c>
      <c r="C53" s="155">
        <v>5</v>
      </c>
      <c r="D53" s="156"/>
      <c r="E53" s="155">
        <v>5</v>
      </c>
      <c r="F53" s="156"/>
      <c r="G53" s="69">
        <v>3</v>
      </c>
      <c r="H53" s="69">
        <v>3</v>
      </c>
    </row>
    <row r="54" spans="2:8" x14ac:dyDescent="0.25">
      <c r="B54" s="17"/>
      <c r="C54" s="17"/>
      <c r="D54" s="17"/>
      <c r="E54" s="17"/>
      <c r="F54" s="17"/>
      <c r="G54" s="17"/>
      <c r="H54" s="17"/>
    </row>
    <row r="55" spans="2:8" x14ac:dyDescent="0.25">
      <c r="B55" s="17"/>
      <c r="C55" s="17"/>
      <c r="D55" s="17"/>
      <c r="E55" s="17"/>
      <c r="F55" s="17"/>
      <c r="G55" s="17"/>
      <c r="H55" s="17"/>
    </row>
    <row r="56" spans="2:8" x14ac:dyDescent="0.25">
      <c r="B56" s="17"/>
      <c r="C56" s="17"/>
      <c r="D56" s="17"/>
      <c r="E56" s="17"/>
      <c r="F56" s="17"/>
      <c r="G56" s="17"/>
      <c r="H56" s="17"/>
    </row>
    <row r="57" spans="2:8" x14ac:dyDescent="0.25">
      <c r="B57" s="17"/>
      <c r="C57" s="17"/>
      <c r="D57" s="17"/>
      <c r="E57" s="17"/>
      <c r="F57" s="17"/>
      <c r="G57" s="17"/>
      <c r="H57" s="17"/>
    </row>
    <row r="58" spans="2:8" x14ac:dyDescent="0.25">
      <c r="B58" s="17"/>
      <c r="C58" s="17"/>
      <c r="D58" s="17"/>
      <c r="E58" s="17"/>
      <c r="F58" s="17"/>
      <c r="G58" s="17"/>
      <c r="H58" s="17"/>
    </row>
    <row r="59" spans="2:8" x14ac:dyDescent="0.25">
      <c r="B59" s="17"/>
      <c r="C59" s="17"/>
      <c r="D59" s="17"/>
      <c r="E59" s="17"/>
      <c r="F59" s="17"/>
      <c r="G59" s="17"/>
      <c r="H59" s="17"/>
    </row>
    <row r="60" spans="2:8" x14ac:dyDescent="0.25">
      <c r="B60" s="17"/>
      <c r="C60" s="17"/>
      <c r="D60" s="17"/>
      <c r="E60" s="17"/>
      <c r="F60" s="17"/>
      <c r="G60" s="17"/>
      <c r="H60" s="17"/>
    </row>
    <row r="61" spans="2:8" x14ac:dyDescent="0.25">
      <c r="B61" s="17"/>
      <c r="C61" s="17"/>
      <c r="D61" s="17"/>
      <c r="E61" s="17"/>
      <c r="F61" s="17"/>
      <c r="G61" s="17"/>
      <c r="H61" s="17"/>
    </row>
    <row r="62" spans="2:8" x14ac:dyDescent="0.25">
      <c r="B62" s="17"/>
      <c r="C62" s="17"/>
      <c r="D62" s="17"/>
      <c r="E62" s="17"/>
      <c r="F62" s="17"/>
      <c r="G62" s="17"/>
      <c r="H62" s="17"/>
    </row>
    <row r="63" spans="2:8" x14ac:dyDescent="0.25">
      <c r="B63" s="17"/>
      <c r="C63" s="17"/>
      <c r="D63" s="17"/>
      <c r="E63" s="17"/>
      <c r="F63" s="17"/>
      <c r="G63" s="17"/>
      <c r="H63" s="17"/>
    </row>
    <row r="64" spans="2:8" x14ac:dyDescent="0.25">
      <c r="B64" s="17"/>
      <c r="C64" s="17"/>
      <c r="D64" s="17"/>
      <c r="E64" s="17"/>
      <c r="F64" s="17"/>
      <c r="G64" s="17"/>
      <c r="H64" s="17"/>
    </row>
    <row r="65" spans="2:8" x14ac:dyDescent="0.25">
      <c r="B65" s="17"/>
      <c r="C65" s="17"/>
      <c r="D65" s="17"/>
      <c r="E65" s="17"/>
      <c r="F65" s="17"/>
      <c r="G65" s="17"/>
      <c r="H65" s="17"/>
    </row>
    <row r="66" spans="2:8" x14ac:dyDescent="0.25">
      <c r="B66" s="17"/>
      <c r="C66" s="17"/>
      <c r="D66" s="17"/>
      <c r="E66" s="17"/>
      <c r="F66" s="17"/>
      <c r="G66" s="17"/>
      <c r="H66" s="17"/>
    </row>
    <row r="67" spans="2:8" x14ac:dyDescent="0.25">
      <c r="B67" s="17"/>
      <c r="C67" s="17"/>
      <c r="D67" s="17"/>
      <c r="E67" s="17"/>
      <c r="F67" s="17"/>
      <c r="G67" s="17"/>
      <c r="H67" s="17"/>
    </row>
    <row r="68" spans="2:8" x14ac:dyDescent="0.25">
      <c r="B68" s="17"/>
      <c r="C68" s="17"/>
      <c r="D68" s="17"/>
      <c r="E68" s="17"/>
      <c r="F68" s="17"/>
      <c r="G68" s="17"/>
      <c r="H68" s="17"/>
    </row>
    <row r="69" spans="2:8" x14ac:dyDescent="0.25">
      <c r="B69" s="17"/>
      <c r="C69" s="17"/>
      <c r="D69" s="17"/>
      <c r="E69" s="17"/>
      <c r="F69" s="17"/>
      <c r="G69" s="17"/>
      <c r="H69" s="17"/>
    </row>
    <row r="70" spans="2:8" x14ac:dyDescent="0.25">
      <c r="B70" s="17"/>
      <c r="C70" s="17"/>
      <c r="D70" s="17"/>
      <c r="E70" s="17"/>
      <c r="F70" s="17"/>
      <c r="G70" s="17"/>
      <c r="H70" s="17"/>
    </row>
    <row r="71" spans="2:8" x14ac:dyDescent="0.25">
      <c r="B71" s="17"/>
      <c r="C71" s="17"/>
      <c r="D71" s="17"/>
      <c r="E71" s="17"/>
      <c r="F71" s="17"/>
      <c r="G71" s="17"/>
      <c r="H71" s="17"/>
    </row>
    <row r="72" spans="2:8" x14ac:dyDescent="0.25">
      <c r="B72" s="17"/>
      <c r="C72" s="17"/>
      <c r="D72" s="17"/>
      <c r="E72" s="17"/>
      <c r="F72" s="17"/>
      <c r="G72" s="17"/>
      <c r="H72" s="17"/>
    </row>
    <row r="73" spans="2:8" x14ac:dyDescent="0.25">
      <c r="B73" s="17"/>
      <c r="C73" s="17"/>
      <c r="D73" s="17"/>
      <c r="E73" s="17"/>
      <c r="F73" s="17"/>
      <c r="G73" s="17"/>
      <c r="H73" s="17"/>
    </row>
  </sheetData>
  <sheetProtection formatCells="0" formatColumns="0" formatRows="0" insertColumns="0" insertRows="0" insertHyperlinks="0" deleteColumns="0" deleteRows="0" sort="0" autoFilter="0" pivotTables="0"/>
  <mergeCells count="75">
    <mergeCell ref="E34:F34"/>
    <mergeCell ref="E33:F33"/>
    <mergeCell ref="E32:F32"/>
    <mergeCell ref="E31:F31"/>
    <mergeCell ref="E30:F30"/>
    <mergeCell ref="E39:F39"/>
    <mergeCell ref="E38:F38"/>
    <mergeCell ref="E37:F37"/>
    <mergeCell ref="E36:F36"/>
    <mergeCell ref="E35:F35"/>
    <mergeCell ref="E44:F44"/>
    <mergeCell ref="E43:F43"/>
    <mergeCell ref="E42:F42"/>
    <mergeCell ref="E41:F41"/>
    <mergeCell ref="E40:F40"/>
    <mergeCell ref="E49:F49"/>
    <mergeCell ref="E48:F48"/>
    <mergeCell ref="E47:F47"/>
    <mergeCell ref="E46:F46"/>
    <mergeCell ref="E45:F45"/>
    <mergeCell ref="C50:D50"/>
    <mergeCell ref="C51:D51"/>
    <mergeCell ref="C52:D52"/>
    <mergeCell ref="C53:D53"/>
    <mergeCell ref="E53:F53"/>
    <mergeCell ref="E52:F52"/>
    <mergeCell ref="E51:F51"/>
    <mergeCell ref="E50:F50"/>
    <mergeCell ref="C45:D45"/>
    <mergeCell ref="C46:D46"/>
    <mergeCell ref="C47:D47"/>
    <mergeCell ref="C48:D48"/>
    <mergeCell ref="C49:D49"/>
    <mergeCell ref="C40:D40"/>
    <mergeCell ref="C41:D41"/>
    <mergeCell ref="C42:D42"/>
    <mergeCell ref="C44:D44"/>
    <mergeCell ref="C43:D43"/>
    <mergeCell ref="C35:D35"/>
    <mergeCell ref="C36:D36"/>
    <mergeCell ref="C37:D37"/>
    <mergeCell ref="C38:D38"/>
    <mergeCell ref="C39:D39"/>
    <mergeCell ref="C30:D30"/>
    <mergeCell ref="C31:D31"/>
    <mergeCell ref="C32:D32"/>
    <mergeCell ref="C33:D33"/>
    <mergeCell ref="C34:D34"/>
    <mergeCell ref="C26:D26"/>
    <mergeCell ref="C27:D27"/>
    <mergeCell ref="C28:D28"/>
    <mergeCell ref="C29:D29"/>
    <mergeCell ref="E29:F29"/>
    <mergeCell ref="E28:F28"/>
    <mergeCell ref="E26:F26"/>
    <mergeCell ref="E27:F27"/>
    <mergeCell ref="B22:H22"/>
    <mergeCell ref="C23:F23"/>
    <mergeCell ref="B24:B25"/>
    <mergeCell ref="C24:D24"/>
    <mergeCell ref="E24:F24"/>
    <mergeCell ref="G23:H23"/>
    <mergeCell ref="C25:D25"/>
    <mergeCell ref="E25:F25"/>
    <mergeCell ref="C17:F18"/>
    <mergeCell ref="G17:I17"/>
    <mergeCell ref="C19:F19"/>
    <mergeCell ref="C20:F20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67" fitToWidth="2" fitToHeight="2" orientation="landscape" r:id="rId1"/>
  <rowBreaks count="1" manualBreakCount="1">
    <brk id="21" max="1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A61"/>
  <sheetViews>
    <sheetView view="pageBreakPreview" topLeftCell="A23" zoomScale="80" zoomScaleNormal="90" zoomScaleSheetLayoutView="80" workbookViewId="0">
      <selection activeCell="G54" sqref="G54"/>
    </sheetView>
  </sheetViews>
  <sheetFormatPr defaultRowHeight="15" x14ac:dyDescent="0.25"/>
  <cols>
    <col min="1" max="1" width="13.140625" customWidth="1"/>
    <col min="2" max="2" width="31.140625" style="11" customWidth="1"/>
    <col min="7" max="7" width="13.140625" customWidth="1"/>
    <col min="8" max="8" width="10.85546875" customWidth="1"/>
    <col min="9" max="9" width="11.140625" customWidth="1"/>
    <col min="11" max="11" width="10.7109375" customWidth="1"/>
    <col min="13" max="13" width="9.5703125" bestFit="1" customWidth="1"/>
    <col min="17" max="27" width="9.140625" style="17"/>
  </cols>
  <sheetData>
    <row r="1" spans="1:27" ht="15.75" x14ac:dyDescent="0.25">
      <c r="A1" s="12" t="s">
        <v>40</v>
      </c>
      <c r="B1" s="11" t="s">
        <v>41</v>
      </c>
    </row>
    <row r="2" spans="1:27" ht="15.75" x14ac:dyDescent="0.25">
      <c r="A2" s="12" t="s">
        <v>42</v>
      </c>
      <c r="B2" s="11" t="s">
        <v>70</v>
      </c>
    </row>
    <row r="3" spans="1:27" ht="15.75" x14ac:dyDescent="0.25">
      <c r="A3" s="12" t="s">
        <v>44</v>
      </c>
      <c r="B3" s="11" t="s">
        <v>45</v>
      </c>
    </row>
    <row r="4" spans="1:27" ht="31.5" x14ac:dyDescent="0.25">
      <c r="A4" s="12" t="s">
        <v>46</v>
      </c>
      <c r="B4" s="11" t="s">
        <v>47</v>
      </c>
    </row>
    <row r="5" spans="1:27" ht="15.75" x14ac:dyDescent="0.25">
      <c r="A5" s="216" t="s">
        <v>29</v>
      </c>
      <c r="B5" s="216" t="s">
        <v>19</v>
      </c>
      <c r="C5" s="216" t="s">
        <v>21</v>
      </c>
      <c r="D5" s="213" t="s">
        <v>32</v>
      </c>
      <c r="E5" s="214"/>
      <c r="F5" s="215"/>
      <c r="G5" s="216" t="s">
        <v>0</v>
      </c>
      <c r="H5" s="213" t="s">
        <v>31</v>
      </c>
      <c r="I5" s="214"/>
      <c r="J5" s="214"/>
      <c r="K5" s="215"/>
      <c r="L5" s="213" t="s">
        <v>30</v>
      </c>
      <c r="M5" s="214"/>
      <c r="N5" s="214"/>
      <c r="O5" s="215"/>
      <c r="Q5"/>
      <c r="R5"/>
      <c r="S5"/>
      <c r="T5"/>
      <c r="U5"/>
      <c r="V5"/>
      <c r="W5"/>
      <c r="X5"/>
      <c r="Y5"/>
      <c r="Z5"/>
      <c r="AA5"/>
    </row>
    <row r="6" spans="1:27" ht="15.75" x14ac:dyDescent="0.25">
      <c r="A6" s="217"/>
      <c r="B6" s="218"/>
      <c r="C6" s="219"/>
      <c r="D6" s="8" t="s">
        <v>1</v>
      </c>
      <c r="E6" s="8" t="s">
        <v>2</v>
      </c>
      <c r="F6" s="8" t="s">
        <v>3</v>
      </c>
      <c r="G6" s="217"/>
      <c r="H6" s="8" t="s">
        <v>18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  <c r="Q6"/>
      <c r="R6"/>
      <c r="S6"/>
      <c r="T6"/>
      <c r="U6"/>
      <c r="V6"/>
      <c r="W6"/>
      <c r="X6"/>
      <c r="Y6"/>
      <c r="Z6"/>
      <c r="AA6"/>
    </row>
    <row r="7" spans="1:27" s="27" customFormat="1" ht="23.25" customHeight="1" x14ac:dyDescent="0.2">
      <c r="A7" s="179" t="s">
        <v>20</v>
      </c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1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</row>
    <row r="8" spans="1:27" s="13" customFormat="1" ht="38.25" x14ac:dyDescent="0.25">
      <c r="A8" s="14">
        <v>67</v>
      </c>
      <c r="B8" s="9" t="s">
        <v>112</v>
      </c>
      <c r="C8" s="14">
        <v>100</v>
      </c>
      <c r="D8" s="15">
        <v>1.4</v>
      </c>
      <c r="E8" s="15">
        <v>10.039999999999999</v>
      </c>
      <c r="F8" s="15">
        <v>7.29</v>
      </c>
      <c r="G8" s="15">
        <f>125.1</f>
        <v>125.1</v>
      </c>
      <c r="H8" s="15">
        <f>0.44/10</f>
        <v>4.3999999999999997E-2</v>
      </c>
      <c r="I8" s="15">
        <v>9.6300000000000008</v>
      </c>
      <c r="J8" s="15"/>
      <c r="K8" s="15">
        <v>4.5</v>
      </c>
      <c r="L8" s="15">
        <v>31.23</v>
      </c>
      <c r="M8" s="15">
        <v>43.27</v>
      </c>
      <c r="N8" s="15">
        <v>19.53</v>
      </c>
      <c r="O8" s="15">
        <v>0.83</v>
      </c>
    </row>
    <row r="9" spans="1:27" s="27" customFormat="1" ht="25.5" customHeight="1" x14ac:dyDescent="0.2">
      <c r="A9" s="14">
        <v>112</v>
      </c>
      <c r="B9" s="9" t="s">
        <v>117</v>
      </c>
      <c r="C9" s="14">
        <v>250</v>
      </c>
      <c r="D9" s="15">
        <f>10.27/4+0.8</f>
        <v>3.3674999999999997</v>
      </c>
      <c r="E9" s="15">
        <f>11.12/4+0.2</f>
        <v>2.98</v>
      </c>
      <c r="F9" s="15">
        <f>62.75/4</f>
        <v>15.6875</v>
      </c>
      <c r="G9" s="15">
        <f>436/4+5+30</f>
        <v>144</v>
      </c>
      <c r="H9" s="15">
        <f>0.37/4</f>
        <v>9.2499999999999999E-2</v>
      </c>
      <c r="I9" s="15">
        <f>24.3/4</f>
        <v>6.0750000000000002</v>
      </c>
      <c r="J9" s="15"/>
      <c r="K9" s="15">
        <f>5.8/4</f>
        <v>1.45</v>
      </c>
      <c r="L9" s="15">
        <f>118/4+2</f>
        <v>31.5</v>
      </c>
      <c r="M9" s="15">
        <f>230.9/4</f>
        <v>57.725000000000001</v>
      </c>
      <c r="N9" s="15">
        <f>95.2/4</f>
        <v>23.8</v>
      </c>
      <c r="O9" s="15">
        <f>4/4</f>
        <v>1</v>
      </c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</row>
    <row r="10" spans="1:27" s="13" customFormat="1" ht="25.5" x14ac:dyDescent="0.25">
      <c r="A10" s="14">
        <v>227</v>
      </c>
      <c r="B10" s="9" t="s">
        <v>119</v>
      </c>
      <c r="C10" s="14">
        <v>110</v>
      </c>
      <c r="D10" s="15">
        <f>8.56*2</f>
        <v>17.12</v>
      </c>
      <c r="E10" s="15">
        <f>4.11*2</f>
        <v>8.2200000000000006</v>
      </c>
      <c r="F10" s="15">
        <f>0.46*2</f>
        <v>0.92</v>
      </c>
      <c r="G10" s="15">
        <f>73*2</f>
        <v>146</v>
      </c>
      <c r="H10" s="15">
        <f>0.04*2</f>
        <v>0.08</v>
      </c>
      <c r="I10" s="15">
        <f>0.42*2</f>
        <v>0.84</v>
      </c>
      <c r="J10" s="15">
        <f>24.5*2</f>
        <v>49</v>
      </c>
      <c r="K10" s="15">
        <f>0.24*2</f>
        <v>0.48</v>
      </c>
      <c r="L10" s="15">
        <f>7.73*2</f>
        <v>15.46</v>
      </c>
      <c r="M10" s="15">
        <f>97.84*2</f>
        <v>195.68</v>
      </c>
      <c r="N10" s="15">
        <f>22.92*2</f>
        <v>45.84</v>
      </c>
      <c r="O10" s="15">
        <f>0.45*2</f>
        <v>0.9</v>
      </c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</row>
    <row r="11" spans="1:27" s="13" customFormat="1" x14ac:dyDescent="0.25">
      <c r="A11" s="14">
        <v>304</v>
      </c>
      <c r="B11" s="9" t="s">
        <v>15</v>
      </c>
      <c r="C11" s="14">
        <v>150</v>
      </c>
      <c r="D11" s="15">
        <f>24.34/20*3</f>
        <v>3.6510000000000002</v>
      </c>
      <c r="E11" s="15">
        <f>35.83/20*3</f>
        <v>5.3744999999999994</v>
      </c>
      <c r="F11" s="15">
        <f>244.56/20*3</f>
        <v>36.683999999999997</v>
      </c>
      <c r="G11" s="15">
        <f>1398/20*3</f>
        <v>209.70000000000002</v>
      </c>
      <c r="H11" s="15">
        <f>0.17/20*3</f>
        <v>2.5500000000000002E-2</v>
      </c>
      <c r="I11" s="15"/>
      <c r="J11" s="15"/>
      <c r="K11" s="15">
        <f>1.88/20*3</f>
        <v>0.28200000000000003</v>
      </c>
      <c r="L11" s="15">
        <f>9.1/20*3</f>
        <v>1.3649999999999998</v>
      </c>
      <c r="M11" s="15">
        <f>406.3/20*3</f>
        <v>60.945000000000007</v>
      </c>
      <c r="N11" s="15">
        <f>108.9/20*3</f>
        <v>16.335000000000001</v>
      </c>
      <c r="O11" s="15">
        <f>3.51/20*3</f>
        <v>0.52649999999999997</v>
      </c>
    </row>
    <row r="12" spans="1:27" s="13" customFormat="1" x14ac:dyDescent="0.25">
      <c r="A12" s="14">
        <v>342</v>
      </c>
      <c r="B12" s="9" t="s">
        <v>128</v>
      </c>
      <c r="C12" s="14">
        <v>200</v>
      </c>
      <c r="D12" s="15">
        <f>0.8/5</f>
        <v>0.16</v>
      </c>
      <c r="E12" s="15">
        <f>0.8/5</f>
        <v>0.16</v>
      </c>
      <c r="F12" s="15">
        <f>139.4/5</f>
        <v>27.880000000000003</v>
      </c>
      <c r="G12" s="15">
        <f>573/5</f>
        <v>114.6</v>
      </c>
      <c r="H12" s="15">
        <f>0.06</f>
        <v>0.06</v>
      </c>
      <c r="I12" s="15">
        <f>4.5/5</f>
        <v>0.9</v>
      </c>
      <c r="J12" s="15">
        <f>0</f>
        <v>0</v>
      </c>
      <c r="K12" s="15">
        <f>0.4/5</f>
        <v>0.08</v>
      </c>
      <c r="L12" s="15">
        <f>70.9/5</f>
        <v>14.180000000000001</v>
      </c>
      <c r="M12" s="15">
        <f>22/5</f>
        <v>4.4000000000000004</v>
      </c>
      <c r="N12" s="15">
        <f>25.7/5</f>
        <v>5.14</v>
      </c>
      <c r="O12" s="15">
        <f>4.76/5</f>
        <v>0.95199999999999996</v>
      </c>
    </row>
    <row r="13" spans="1:27" s="13" customFormat="1" x14ac:dyDescent="0.25">
      <c r="A13" s="42"/>
      <c r="B13" s="9" t="s">
        <v>14</v>
      </c>
      <c r="C13" s="14">
        <v>40</v>
      </c>
      <c r="D13" s="15">
        <v>2.2400000000000002</v>
      </c>
      <c r="E13" s="15">
        <v>0.88</v>
      </c>
      <c r="F13" s="15">
        <v>19.760000000000002</v>
      </c>
      <c r="G13" s="15">
        <v>91.96</v>
      </c>
      <c r="H13" s="15">
        <v>0.04</v>
      </c>
      <c r="I13" s="15"/>
      <c r="J13" s="15"/>
      <c r="K13" s="15">
        <v>0.36</v>
      </c>
      <c r="L13" s="15">
        <v>9.1999999999999993</v>
      </c>
      <c r="M13" s="15">
        <v>42.4</v>
      </c>
      <c r="N13" s="15">
        <v>10</v>
      </c>
      <c r="O13" s="15">
        <v>1.24</v>
      </c>
    </row>
    <row r="14" spans="1:27" s="13" customFormat="1" x14ac:dyDescent="0.25">
      <c r="A14" s="42"/>
      <c r="B14" s="9" t="s">
        <v>76</v>
      </c>
      <c r="C14" s="92">
        <v>40</v>
      </c>
      <c r="D14" s="15">
        <v>3.16</v>
      </c>
      <c r="E14" s="15">
        <v>0.4</v>
      </c>
      <c r="F14" s="15">
        <v>19.32</v>
      </c>
      <c r="G14" s="15">
        <v>93.52</v>
      </c>
      <c r="H14" s="15">
        <v>0.04</v>
      </c>
      <c r="I14" s="15"/>
      <c r="J14" s="15"/>
      <c r="K14" s="15">
        <v>0.52</v>
      </c>
      <c r="L14" s="15">
        <v>9.1999999999999993</v>
      </c>
      <c r="M14" s="15">
        <v>34.799999999999997</v>
      </c>
      <c r="N14" s="15">
        <v>13.2</v>
      </c>
      <c r="O14" s="15">
        <v>0.44</v>
      </c>
    </row>
    <row r="15" spans="1:27" s="10" customFormat="1" ht="16.149999999999999" customHeight="1" x14ac:dyDescent="0.2">
      <c r="A15" s="93" t="s">
        <v>11</v>
      </c>
      <c r="B15" s="94"/>
      <c r="C15" s="94"/>
      <c r="D15" s="102">
        <f>SUM(D8:D14)</f>
        <v>31.098500000000005</v>
      </c>
      <c r="E15" s="102">
        <f t="shared" ref="E15:G15" si="0">SUM(E8:E14)</f>
        <v>28.054499999999997</v>
      </c>
      <c r="F15" s="102">
        <f t="shared" si="0"/>
        <v>127.54150000000001</v>
      </c>
      <c r="G15" s="102">
        <f t="shared" si="0"/>
        <v>924.88000000000011</v>
      </c>
      <c r="H15" s="102"/>
      <c r="I15" s="102"/>
      <c r="J15" s="102"/>
      <c r="K15" s="102"/>
      <c r="L15" s="102"/>
      <c r="M15" s="102"/>
      <c r="N15" s="102"/>
      <c r="O15" s="102"/>
      <c r="Q15" s="18"/>
      <c r="R15" s="18"/>
      <c r="S15" s="20"/>
      <c r="T15" s="21"/>
      <c r="U15" s="21"/>
      <c r="V15" s="21"/>
      <c r="W15" s="21"/>
      <c r="X15" s="21"/>
      <c r="Y15" s="21"/>
      <c r="Z15" s="21"/>
      <c r="AA15" s="21"/>
    </row>
    <row r="16" spans="1:27" ht="15.75" thickBot="1" x14ac:dyDescent="0.3"/>
    <row r="17" spans="1:27" s="18" customFormat="1" ht="26.25" customHeight="1" thickBot="1" x14ac:dyDescent="0.25">
      <c r="A17" s="30"/>
      <c r="B17" s="133" t="s">
        <v>58</v>
      </c>
      <c r="C17" s="134"/>
      <c r="D17" s="134"/>
      <c r="E17" s="134"/>
      <c r="F17" s="137" t="s">
        <v>59</v>
      </c>
      <c r="G17" s="138"/>
      <c r="H17" s="139"/>
      <c r="I17" s="32" t="s">
        <v>60</v>
      </c>
      <c r="J17" s="31"/>
      <c r="K17" s="31"/>
      <c r="L17" s="31"/>
      <c r="M17" s="31"/>
      <c r="N17" s="31"/>
      <c r="O17" s="31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</row>
    <row r="18" spans="1:27" s="18" customFormat="1" ht="13.5" thickBot="1" x14ac:dyDescent="0.25">
      <c r="A18" s="30"/>
      <c r="B18" s="135"/>
      <c r="C18" s="136"/>
      <c r="D18" s="136"/>
      <c r="E18" s="136"/>
      <c r="F18" s="33" t="s">
        <v>1</v>
      </c>
      <c r="G18" s="33" t="s">
        <v>2</v>
      </c>
      <c r="H18" s="33" t="s">
        <v>3</v>
      </c>
      <c r="I18" s="34"/>
      <c r="J18" s="31"/>
      <c r="K18" s="31"/>
      <c r="L18" s="31"/>
      <c r="M18" s="31"/>
      <c r="N18" s="31"/>
      <c r="O18" s="31"/>
      <c r="Q18" s="19"/>
      <c r="R18" s="19"/>
      <c r="S18" s="19"/>
      <c r="T18" s="16"/>
      <c r="U18" s="16"/>
      <c r="V18" s="16"/>
      <c r="W18" s="16"/>
      <c r="X18" s="16"/>
      <c r="Y18" s="16"/>
      <c r="Z18" s="16"/>
      <c r="AA18" s="16"/>
    </row>
    <row r="19" spans="1:27" ht="15.75" thickBot="1" x14ac:dyDescent="0.3">
      <c r="B19" s="140" t="s">
        <v>62</v>
      </c>
      <c r="C19" s="141"/>
      <c r="D19" s="141"/>
      <c r="E19" s="141"/>
      <c r="F19" s="33" t="s">
        <v>63</v>
      </c>
      <c r="G19" s="33" t="s">
        <v>64</v>
      </c>
      <c r="H19" s="33" t="s">
        <v>65</v>
      </c>
      <c r="I19" s="33" t="s">
        <v>66</v>
      </c>
    </row>
    <row r="20" spans="1:27" ht="15.75" thickBot="1" x14ac:dyDescent="0.3">
      <c r="B20" s="140" t="s">
        <v>61</v>
      </c>
      <c r="C20" s="141"/>
      <c r="D20" s="141"/>
      <c r="E20" s="141"/>
      <c r="F20" s="35">
        <f>D15</f>
        <v>31.098500000000005</v>
      </c>
      <c r="G20" s="35">
        <f>E15</f>
        <v>28.054499999999997</v>
      </c>
      <c r="H20" s="35">
        <f>F15</f>
        <v>127.54150000000001</v>
      </c>
      <c r="I20" s="35">
        <f>G15</f>
        <v>924.88000000000011</v>
      </c>
    </row>
    <row r="22" spans="1:27" ht="43.5" customHeight="1" x14ac:dyDescent="0.25">
      <c r="B22" s="152" t="s">
        <v>109</v>
      </c>
      <c r="C22" s="152"/>
      <c r="D22" s="152"/>
      <c r="E22" s="152"/>
      <c r="F22" s="152"/>
      <c r="G22" s="152"/>
      <c r="H22" s="152"/>
    </row>
    <row r="23" spans="1:27" ht="21.75" customHeight="1" x14ac:dyDescent="0.25">
      <c r="B23" s="67" t="s">
        <v>71</v>
      </c>
      <c r="C23" s="147" t="s">
        <v>72</v>
      </c>
      <c r="D23" s="147"/>
      <c r="E23" s="147"/>
      <c r="F23" s="147"/>
      <c r="G23" s="153" t="s">
        <v>123</v>
      </c>
      <c r="H23" s="154"/>
      <c r="J23" s="12" t="s">
        <v>40</v>
      </c>
      <c r="K23" s="104" t="s">
        <v>41</v>
      </c>
    </row>
    <row r="24" spans="1:27" ht="31.5" x14ac:dyDescent="0.25">
      <c r="B24" s="150"/>
      <c r="C24" s="148" t="s">
        <v>73</v>
      </c>
      <c r="D24" s="149"/>
      <c r="E24" s="148" t="s">
        <v>74</v>
      </c>
      <c r="F24" s="149"/>
      <c r="G24" s="67" t="s">
        <v>73</v>
      </c>
      <c r="H24" s="67" t="s">
        <v>74</v>
      </c>
      <c r="J24" s="12" t="s">
        <v>42</v>
      </c>
      <c r="K24" s="11" t="s">
        <v>70</v>
      </c>
    </row>
    <row r="25" spans="1:27" ht="30" x14ac:dyDescent="0.25">
      <c r="B25" s="151"/>
      <c r="C25" s="148" t="s">
        <v>47</v>
      </c>
      <c r="D25" s="149"/>
      <c r="E25" s="148" t="s">
        <v>47</v>
      </c>
      <c r="F25" s="149"/>
      <c r="G25" s="67" t="s">
        <v>47</v>
      </c>
      <c r="H25" s="67" t="s">
        <v>47</v>
      </c>
      <c r="J25" s="12" t="s">
        <v>44</v>
      </c>
      <c r="K25" s="11" t="s">
        <v>45</v>
      </c>
    </row>
    <row r="26" spans="1:27" ht="63" x14ac:dyDescent="0.25">
      <c r="B26" s="68" t="s">
        <v>75</v>
      </c>
      <c r="C26" s="155">
        <v>80</v>
      </c>
      <c r="D26" s="156"/>
      <c r="E26" s="155">
        <v>80</v>
      </c>
      <c r="F26" s="156"/>
      <c r="G26" s="69">
        <v>40</v>
      </c>
      <c r="H26" s="69">
        <v>40</v>
      </c>
      <c r="J26" s="12" t="s">
        <v>46</v>
      </c>
      <c r="K26" s="11" t="s">
        <v>47</v>
      </c>
    </row>
    <row r="27" spans="1:27" x14ac:dyDescent="0.25">
      <c r="B27" s="68" t="s">
        <v>76</v>
      </c>
      <c r="C27" s="155">
        <v>150</v>
      </c>
      <c r="D27" s="156"/>
      <c r="E27" s="155">
        <v>150</v>
      </c>
      <c r="F27" s="156"/>
      <c r="G27" s="69">
        <v>40</v>
      </c>
      <c r="H27" s="69">
        <v>40</v>
      </c>
    </row>
    <row r="28" spans="1:27" x14ac:dyDescent="0.25">
      <c r="B28" s="68" t="s">
        <v>77</v>
      </c>
      <c r="C28" s="155">
        <v>15</v>
      </c>
      <c r="D28" s="156"/>
      <c r="E28" s="155">
        <v>15</v>
      </c>
      <c r="F28" s="156"/>
      <c r="G28" s="69">
        <v>5</v>
      </c>
      <c r="H28" s="69">
        <v>5</v>
      </c>
    </row>
    <row r="29" spans="1:27" x14ac:dyDescent="0.25">
      <c r="B29" s="70" t="s">
        <v>78</v>
      </c>
      <c r="C29" s="157">
        <v>45</v>
      </c>
      <c r="D29" s="158"/>
      <c r="E29" s="157">
        <v>45</v>
      </c>
      <c r="F29" s="158"/>
      <c r="G29" s="71">
        <f>54</f>
        <v>54</v>
      </c>
      <c r="H29" s="71">
        <f>54</f>
        <v>54</v>
      </c>
    </row>
    <row r="30" spans="1:27" x14ac:dyDescent="0.25">
      <c r="B30" s="68" t="s">
        <v>79</v>
      </c>
      <c r="C30" s="155">
        <v>15</v>
      </c>
      <c r="D30" s="156"/>
      <c r="E30" s="155">
        <v>15</v>
      </c>
      <c r="F30" s="156"/>
      <c r="G30" s="69">
        <v>10</v>
      </c>
      <c r="H30" s="69">
        <v>10</v>
      </c>
    </row>
    <row r="31" spans="1:27" x14ac:dyDescent="0.25">
      <c r="B31" s="68" t="s">
        <v>80</v>
      </c>
      <c r="C31" s="155" t="s">
        <v>81</v>
      </c>
      <c r="D31" s="156"/>
      <c r="E31" s="159">
        <v>188</v>
      </c>
      <c r="F31" s="160"/>
      <c r="G31" s="69">
        <f>53.4+28.9</f>
        <v>82.3</v>
      </c>
      <c r="H31" s="69">
        <v>82.3</v>
      </c>
    </row>
    <row r="32" spans="1:27" x14ac:dyDescent="0.25">
      <c r="B32" s="68" t="s">
        <v>82</v>
      </c>
      <c r="C32" s="155">
        <v>350</v>
      </c>
      <c r="D32" s="156"/>
      <c r="E32" s="155" t="s">
        <v>83</v>
      </c>
      <c r="F32" s="156"/>
      <c r="G32" s="69">
        <f>10+9.6+2+6+6+19.1+12.6+18.8+21.4+18.8</f>
        <v>124.3</v>
      </c>
      <c r="H32" s="87">
        <f>40+21+8+2+8+15+10+5+5+5</f>
        <v>119</v>
      </c>
    </row>
    <row r="33" spans="2:8" x14ac:dyDescent="0.25">
      <c r="B33" s="68" t="s">
        <v>84</v>
      </c>
      <c r="C33" s="155">
        <v>200</v>
      </c>
      <c r="D33" s="156"/>
      <c r="E33" s="155" t="s">
        <v>85</v>
      </c>
      <c r="F33" s="156"/>
      <c r="G33" s="69"/>
      <c r="H33" s="69"/>
    </row>
    <row r="34" spans="2:8" ht="25.5" x14ac:dyDescent="0.25">
      <c r="B34" s="68" t="s">
        <v>86</v>
      </c>
      <c r="C34" s="155">
        <v>15</v>
      </c>
      <c r="D34" s="156"/>
      <c r="E34" s="155">
        <v>15</v>
      </c>
      <c r="F34" s="156"/>
      <c r="G34" s="69"/>
      <c r="H34" s="69"/>
    </row>
    <row r="35" spans="2:8" ht="38.25" x14ac:dyDescent="0.25">
      <c r="B35" s="68" t="s">
        <v>87</v>
      </c>
      <c r="C35" s="155">
        <v>200</v>
      </c>
      <c r="D35" s="156"/>
      <c r="E35" s="155">
        <v>200</v>
      </c>
      <c r="F35" s="156"/>
      <c r="G35" s="69"/>
      <c r="H35" s="69"/>
    </row>
    <row r="36" spans="2:8" ht="25.5" x14ac:dyDescent="0.25">
      <c r="B36" s="68" t="s">
        <v>88</v>
      </c>
      <c r="C36" s="155" t="s">
        <v>89</v>
      </c>
      <c r="D36" s="156"/>
      <c r="E36" s="155">
        <v>70</v>
      </c>
      <c r="F36" s="156"/>
      <c r="G36" s="69"/>
      <c r="H36" s="69"/>
    </row>
    <row r="37" spans="2:8" ht="25.5" x14ac:dyDescent="0.25">
      <c r="B37" s="68" t="s">
        <v>90</v>
      </c>
      <c r="C37" s="155" t="s">
        <v>91</v>
      </c>
      <c r="D37" s="156"/>
      <c r="E37" s="155">
        <v>35</v>
      </c>
      <c r="F37" s="156"/>
      <c r="G37" s="69">
        <v>40</v>
      </c>
      <c r="H37" s="69">
        <v>25</v>
      </c>
    </row>
    <row r="38" spans="2:8" x14ac:dyDescent="0.25">
      <c r="B38" s="68" t="s">
        <v>92</v>
      </c>
      <c r="C38" s="155">
        <v>60</v>
      </c>
      <c r="D38" s="156"/>
      <c r="E38" s="155">
        <v>58</v>
      </c>
      <c r="F38" s="156"/>
      <c r="G38" s="69">
        <v>246</v>
      </c>
      <c r="H38" s="69">
        <v>124</v>
      </c>
    </row>
    <row r="39" spans="2:8" x14ac:dyDescent="0.25">
      <c r="B39" s="68" t="s">
        <v>93</v>
      </c>
      <c r="C39" s="155">
        <v>15</v>
      </c>
      <c r="D39" s="156"/>
      <c r="E39" s="155">
        <v>14.7</v>
      </c>
      <c r="F39" s="156"/>
      <c r="G39" s="69"/>
      <c r="H39" s="69"/>
    </row>
    <row r="40" spans="2:8" ht="25.5" x14ac:dyDescent="0.25">
      <c r="B40" s="68" t="s">
        <v>94</v>
      </c>
      <c r="C40" s="155">
        <v>300</v>
      </c>
      <c r="D40" s="156"/>
      <c r="E40" s="155">
        <v>300</v>
      </c>
      <c r="F40" s="156"/>
      <c r="G40" s="69"/>
      <c r="H40" s="69"/>
    </row>
    <row r="41" spans="2:8" ht="25.5" x14ac:dyDescent="0.25">
      <c r="B41" s="68" t="s">
        <v>95</v>
      </c>
      <c r="C41" s="155">
        <v>150</v>
      </c>
      <c r="D41" s="156"/>
      <c r="E41" s="155">
        <v>150</v>
      </c>
      <c r="F41" s="156"/>
      <c r="G41" s="69"/>
      <c r="H41" s="69"/>
    </row>
    <row r="42" spans="2:8" ht="25.5" x14ac:dyDescent="0.25">
      <c r="B42" s="68" t="s">
        <v>96</v>
      </c>
      <c r="C42" s="155">
        <v>50</v>
      </c>
      <c r="D42" s="156"/>
      <c r="E42" s="155">
        <v>50</v>
      </c>
      <c r="F42" s="156"/>
      <c r="G42" s="69"/>
      <c r="H42" s="69"/>
    </row>
    <row r="43" spans="2:8" x14ac:dyDescent="0.25">
      <c r="B43" s="68" t="s">
        <v>97</v>
      </c>
      <c r="C43" s="155">
        <v>10</v>
      </c>
      <c r="D43" s="156"/>
      <c r="E43" s="155">
        <v>9.8000000000000007</v>
      </c>
      <c r="F43" s="156"/>
      <c r="G43" s="69"/>
      <c r="H43" s="87"/>
    </row>
    <row r="44" spans="2:8" ht="25.5" x14ac:dyDescent="0.25">
      <c r="B44" s="68" t="s">
        <v>98</v>
      </c>
      <c r="C44" s="155">
        <v>10</v>
      </c>
      <c r="D44" s="156"/>
      <c r="E44" s="155">
        <v>10</v>
      </c>
      <c r="F44" s="156"/>
      <c r="G44" s="74"/>
      <c r="H44" s="74"/>
    </row>
    <row r="45" spans="2:8" x14ac:dyDescent="0.25">
      <c r="B45" s="68" t="s">
        <v>99</v>
      </c>
      <c r="C45" s="155">
        <v>30</v>
      </c>
      <c r="D45" s="156"/>
      <c r="E45" s="155">
        <v>30</v>
      </c>
      <c r="F45" s="156"/>
      <c r="G45" s="69">
        <v>5</v>
      </c>
      <c r="H45" s="69">
        <v>5</v>
      </c>
    </row>
    <row r="46" spans="2:8" x14ac:dyDescent="0.25">
      <c r="B46" s="68" t="s">
        <v>100</v>
      </c>
      <c r="C46" s="155">
        <v>15</v>
      </c>
      <c r="D46" s="156"/>
      <c r="E46" s="155">
        <v>15</v>
      </c>
      <c r="F46" s="156"/>
      <c r="G46" s="69">
        <f>2+0.32+10</f>
        <v>12.32</v>
      </c>
      <c r="H46" s="69">
        <v>12.32</v>
      </c>
    </row>
    <row r="47" spans="2:8" x14ac:dyDescent="0.25">
      <c r="B47" s="68" t="s">
        <v>101</v>
      </c>
      <c r="C47" s="155" t="s">
        <v>102</v>
      </c>
      <c r="D47" s="156"/>
      <c r="E47" s="155">
        <v>40</v>
      </c>
      <c r="F47" s="156"/>
      <c r="G47" s="87"/>
      <c r="H47" s="69"/>
    </row>
    <row r="48" spans="2:8" x14ac:dyDescent="0.25">
      <c r="B48" s="68" t="s">
        <v>103</v>
      </c>
      <c r="C48" s="155">
        <v>40</v>
      </c>
      <c r="D48" s="156"/>
      <c r="E48" s="159">
        <v>40</v>
      </c>
      <c r="F48" s="160"/>
      <c r="G48" s="69">
        <v>10</v>
      </c>
      <c r="H48" s="69">
        <v>10</v>
      </c>
    </row>
    <row r="49" spans="2:8" x14ac:dyDescent="0.25">
      <c r="B49" s="68" t="s">
        <v>104</v>
      </c>
      <c r="C49" s="159">
        <v>10</v>
      </c>
      <c r="D49" s="160"/>
      <c r="E49" s="155">
        <v>10</v>
      </c>
      <c r="F49" s="156"/>
      <c r="G49" s="69"/>
      <c r="H49" s="69"/>
    </row>
    <row r="50" spans="2:8" x14ac:dyDescent="0.25">
      <c r="B50" s="68" t="s">
        <v>105</v>
      </c>
      <c r="C50" s="155">
        <v>0.4</v>
      </c>
      <c r="D50" s="156"/>
      <c r="E50" s="155">
        <v>0.4</v>
      </c>
      <c r="F50" s="156"/>
      <c r="G50" s="69"/>
      <c r="H50" s="69"/>
    </row>
    <row r="51" spans="2:8" x14ac:dyDescent="0.25">
      <c r="B51" s="68" t="s">
        <v>106</v>
      </c>
      <c r="C51" s="155">
        <v>1.2</v>
      </c>
      <c r="D51" s="156"/>
      <c r="E51" s="155">
        <v>1.2</v>
      </c>
      <c r="F51" s="156"/>
      <c r="G51" s="69"/>
      <c r="H51" s="69"/>
    </row>
    <row r="52" spans="2:8" x14ac:dyDescent="0.25">
      <c r="B52" s="68" t="s">
        <v>107</v>
      </c>
      <c r="C52" s="155">
        <v>1</v>
      </c>
      <c r="D52" s="156"/>
      <c r="E52" s="155">
        <v>1</v>
      </c>
      <c r="F52" s="156"/>
      <c r="G52" s="69"/>
      <c r="H52" s="69"/>
    </row>
    <row r="53" spans="2:8" x14ac:dyDescent="0.25">
      <c r="B53" s="68" t="s">
        <v>108</v>
      </c>
      <c r="C53" s="155">
        <v>5</v>
      </c>
      <c r="D53" s="156"/>
      <c r="E53" s="155">
        <v>5</v>
      </c>
      <c r="F53" s="156"/>
      <c r="G53" s="69">
        <v>3.03</v>
      </c>
      <c r="H53" s="69">
        <v>3.03</v>
      </c>
    </row>
    <row r="54" spans="2:8" x14ac:dyDescent="0.25">
      <c r="B54" s="85"/>
      <c r="C54" s="17"/>
      <c r="D54" s="17"/>
      <c r="E54" s="17"/>
      <c r="F54" s="17"/>
      <c r="G54" s="17"/>
      <c r="H54" s="17"/>
    </row>
    <row r="55" spans="2:8" x14ac:dyDescent="0.25">
      <c r="B55" s="85"/>
      <c r="C55" s="17"/>
      <c r="D55" s="17"/>
      <c r="E55" s="17"/>
      <c r="F55" s="17"/>
      <c r="G55" s="17"/>
      <c r="H55" s="17"/>
    </row>
    <row r="56" spans="2:8" x14ac:dyDescent="0.25">
      <c r="B56" s="85"/>
      <c r="C56" s="17"/>
      <c r="D56" s="17"/>
      <c r="E56" s="17"/>
      <c r="F56" s="17"/>
      <c r="G56" s="17"/>
      <c r="H56" s="17"/>
    </row>
    <row r="57" spans="2:8" x14ac:dyDescent="0.25">
      <c r="B57" s="85"/>
      <c r="C57" s="17"/>
      <c r="D57" s="17"/>
      <c r="E57" s="17"/>
      <c r="F57" s="17"/>
      <c r="G57" s="17"/>
      <c r="H57" s="17"/>
    </row>
    <row r="58" spans="2:8" x14ac:dyDescent="0.25">
      <c r="B58" s="85"/>
      <c r="C58" s="17"/>
      <c r="D58" s="17"/>
      <c r="E58" s="17"/>
      <c r="F58" s="17"/>
      <c r="G58" s="17"/>
      <c r="H58" s="17"/>
    </row>
    <row r="59" spans="2:8" x14ac:dyDescent="0.25">
      <c r="B59" s="85"/>
      <c r="C59" s="17"/>
      <c r="D59" s="17"/>
      <c r="E59" s="17"/>
      <c r="F59" s="17"/>
      <c r="G59" s="17"/>
      <c r="H59" s="17"/>
    </row>
    <row r="60" spans="2:8" x14ac:dyDescent="0.25">
      <c r="B60" s="85"/>
      <c r="C60" s="17"/>
      <c r="D60" s="17"/>
      <c r="E60" s="17"/>
      <c r="F60" s="17"/>
      <c r="G60" s="17"/>
      <c r="H60" s="17"/>
    </row>
    <row r="61" spans="2:8" x14ac:dyDescent="0.25">
      <c r="B61" s="85"/>
      <c r="C61" s="17"/>
      <c r="D61" s="17"/>
      <c r="E61" s="17"/>
      <c r="F61" s="17"/>
      <c r="G61" s="17"/>
      <c r="H61" s="17"/>
    </row>
  </sheetData>
  <sheetProtection formatCells="0" formatColumns="0" formatRows="0" insertColumns="0" insertRows="0" insertHyperlinks="0" deleteColumns="0" deleteRows="0" sort="0" autoFilter="0" pivotTables="0"/>
  <mergeCells count="76">
    <mergeCell ref="C30:D30"/>
    <mergeCell ref="C29:D29"/>
    <mergeCell ref="C28:D28"/>
    <mergeCell ref="C27:D27"/>
    <mergeCell ref="C26:D26"/>
    <mergeCell ref="C35:D35"/>
    <mergeCell ref="C34:D34"/>
    <mergeCell ref="C33:D33"/>
    <mergeCell ref="C32:D32"/>
    <mergeCell ref="C31:D31"/>
    <mergeCell ref="C40:D40"/>
    <mergeCell ref="C39:D39"/>
    <mergeCell ref="C38:D38"/>
    <mergeCell ref="C37:D37"/>
    <mergeCell ref="C36:D36"/>
    <mergeCell ref="C45:D45"/>
    <mergeCell ref="C44:D44"/>
    <mergeCell ref="C43:D43"/>
    <mergeCell ref="C42:D42"/>
    <mergeCell ref="C41:D41"/>
    <mergeCell ref="C50:D50"/>
    <mergeCell ref="C49:D49"/>
    <mergeCell ref="C48:D48"/>
    <mergeCell ref="C47:D47"/>
    <mergeCell ref="C46:D46"/>
    <mergeCell ref="E51:F51"/>
    <mergeCell ref="E52:F52"/>
    <mergeCell ref="E53:F53"/>
    <mergeCell ref="C53:D53"/>
    <mergeCell ref="C52:D52"/>
    <mergeCell ref="C51:D51"/>
    <mergeCell ref="E46:F46"/>
    <mergeCell ref="E47:F47"/>
    <mergeCell ref="E48:F48"/>
    <mergeCell ref="E49:F49"/>
    <mergeCell ref="E50:F50"/>
    <mergeCell ref="E41:F41"/>
    <mergeCell ref="E42:F42"/>
    <mergeCell ref="E43:F43"/>
    <mergeCell ref="E44:F44"/>
    <mergeCell ref="E45:F45"/>
    <mergeCell ref="E36:F36"/>
    <mergeCell ref="E37:F37"/>
    <mergeCell ref="E38:F38"/>
    <mergeCell ref="E39:F39"/>
    <mergeCell ref="E40:F40"/>
    <mergeCell ref="E31:F31"/>
    <mergeCell ref="E32:F32"/>
    <mergeCell ref="E33:F33"/>
    <mergeCell ref="E34:F34"/>
    <mergeCell ref="E35:F35"/>
    <mergeCell ref="E26:F26"/>
    <mergeCell ref="E27:F27"/>
    <mergeCell ref="E28:F28"/>
    <mergeCell ref="E29:F29"/>
    <mergeCell ref="E30:F30"/>
    <mergeCell ref="B22:H22"/>
    <mergeCell ref="C23:F23"/>
    <mergeCell ref="B24:B25"/>
    <mergeCell ref="C24:D24"/>
    <mergeCell ref="E24:F24"/>
    <mergeCell ref="G23:H23"/>
    <mergeCell ref="E25:F25"/>
    <mergeCell ref="C25:D25"/>
    <mergeCell ref="B17:E18"/>
    <mergeCell ref="F17:H17"/>
    <mergeCell ref="B19:E19"/>
    <mergeCell ref="B20:E20"/>
    <mergeCell ref="A7:O7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2" fitToWidth="2" fitToHeight="2" orientation="landscape" r:id="rId1"/>
  <rowBreaks count="1" manualBreakCount="1">
    <brk id="21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O53"/>
  <sheetViews>
    <sheetView view="pageBreakPreview" topLeftCell="A17" zoomScale="70" zoomScaleNormal="90" zoomScaleSheetLayoutView="70" workbookViewId="0">
      <selection activeCell="G52" sqref="G52"/>
    </sheetView>
  </sheetViews>
  <sheetFormatPr defaultRowHeight="15" x14ac:dyDescent="0.25"/>
  <cols>
    <col min="1" max="1" width="16" customWidth="1"/>
    <col min="2" max="2" width="25.28515625" customWidth="1"/>
    <col min="7" max="7" width="12" customWidth="1"/>
    <col min="8" max="8" width="10.5703125" customWidth="1"/>
    <col min="9" max="9" width="11.85546875" customWidth="1"/>
    <col min="10" max="10" width="10.7109375" customWidth="1"/>
    <col min="13" max="13" width="9.5703125" bestFit="1" customWidth="1"/>
  </cols>
  <sheetData>
    <row r="1" spans="1:15" ht="15.75" x14ac:dyDescent="0.25">
      <c r="A1" s="12" t="s">
        <v>40</v>
      </c>
      <c r="B1" s="11" t="s">
        <v>48</v>
      </c>
    </row>
    <row r="2" spans="1:15" ht="15.75" x14ac:dyDescent="0.25">
      <c r="A2" s="12" t="s">
        <v>42</v>
      </c>
      <c r="B2" s="11" t="s">
        <v>70</v>
      </c>
    </row>
    <row r="3" spans="1:15" ht="15.75" x14ac:dyDescent="0.25">
      <c r="A3" s="12" t="s">
        <v>44</v>
      </c>
      <c r="B3" s="11" t="s">
        <v>45</v>
      </c>
    </row>
    <row r="4" spans="1:15" ht="31.5" x14ac:dyDescent="0.25">
      <c r="A4" s="12" t="s">
        <v>46</v>
      </c>
      <c r="B4" s="11" t="s">
        <v>47</v>
      </c>
    </row>
    <row r="5" spans="1:15" ht="15.75" x14ac:dyDescent="0.25">
      <c r="A5" s="216" t="s">
        <v>29</v>
      </c>
      <c r="B5" s="216" t="s">
        <v>19</v>
      </c>
      <c r="C5" s="216" t="s">
        <v>21</v>
      </c>
      <c r="D5" s="213" t="s">
        <v>32</v>
      </c>
      <c r="E5" s="214"/>
      <c r="F5" s="215"/>
      <c r="G5" s="216" t="s">
        <v>0</v>
      </c>
      <c r="H5" s="213" t="s">
        <v>31</v>
      </c>
      <c r="I5" s="214"/>
      <c r="J5" s="214"/>
      <c r="K5" s="215"/>
      <c r="L5" s="213" t="s">
        <v>30</v>
      </c>
      <c r="M5" s="214"/>
      <c r="N5" s="214"/>
      <c r="O5" s="215"/>
    </row>
    <row r="6" spans="1:15" ht="15.75" x14ac:dyDescent="0.25">
      <c r="A6" s="217"/>
      <c r="B6" s="218"/>
      <c r="C6" s="219"/>
      <c r="D6" s="8" t="s">
        <v>1</v>
      </c>
      <c r="E6" s="8" t="s">
        <v>2</v>
      </c>
      <c r="F6" s="8" t="s">
        <v>3</v>
      </c>
      <c r="G6" s="217"/>
      <c r="H6" s="8" t="s">
        <v>18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</row>
    <row r="7" spans="1:15" s="27" customFormat="1" ht="26.25" customHeight="1" x14ac:dyDescent="0.2">
      <c r="A7" s="180" t="s">
        <v>20</v>
      </c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1"/>
    </row>
    <row r="8" spans="1:15" s="13" customFormat="1" ht="25.5" x14ac:dyDescent="0.25">
      <c r="A8" s="14">
        <v>61</v>
      </c>
      <c r="B8" s="9" t="s">
        <v>56</v>
      </c>
      <c r="C8" s="14">
        <v>100</v>
      </c>
      <c r="D8" s="15">
        <v>1.5</v>
      </c>
      <c r="E8" s="15">
        <v>5.01</v>
      </c>
      <c r="F8" s="15">
        <v>13.02</v>
      </c>
      <c r="G8" s="15">
        <v>103.7</v>
      </c>
      <c r="H8" s="15">
        <v>0.06</v>
      </c>
      <c r="I8" s="15">
        <v>3.57</v>
      </c>
      <c r="J8" s="15"/>
      <c r="K8" s="15">
        <v>8.25</v>
      </c>
      <c r="L8" s="15">
        <v>37.92</v>
      </c>
      <c r="M8" s="15">
        <v>56.22</v>
      </c>
      <c r="N8" s="15">
        <v>39.1</v>
      </c>
      <c r="O8" s="15">
        <v>1.06</v>
      </c>
    </row>
    <row r="9" spans="1:15" s="13" customFormat="1" ht="38.25" x14ac:dyDescent="0.25">
      <c r="A9" s="14">
        <v>88</v>
      </c>
      <c r="B9" s="9" t="s">
        <v>113</v>
      </c>
      <c r="C9" s="14">
        <v>250</v>
      </c>
      <c r="D9" s="15">
        <f>(7.06/4)+0.8</f>
        <v>2.5649999999999999</v>
      </c>
      <c r="E9" s="15">
        <f>(19.8/4)+0.2</f>
        <v>5.15</v>
      </c>
      <c r="F9" s="15">
        <f>31.61/4</f>
        <v>7.9024999999999999</v>
      </c>
      <c r="G9" s="15">
        <f>(359/4)+5+30</f>
        <v>124.75</v>
      </c>
      <c r="H9" s="15">
        <f>0.23/4</f>
        <v>5.7500000000000002E-2</v>
      </c>
      <c r="I9" s="15">
        <f>63.1/4</f>
        <v>15.775</v>
      </c>
      <c r="J9" s="15"/>
      <c r="K9" s="15">
        <f>9.4/4</f>
        <v>2.35</v>
      </c>
      <c r="L9" s="15">
        <f>(197/4)+2</f>
        <v>51.25</v>
      </c>
      <c r="M9" s="15">
        <f>196/4</f>
        <v>49</v>
      </c>
      <c r="N9" s="15">
        <f>88.5/4</f>
        <v>22.125</v>
      </c>
      <c r="O9" s="15">
        <f>3.3/4</f>
        <v>0.82499999999999996</v>
      </c>
    </row>
    <row r="10" spans="1:15" s="26" customFormat="1" ht="25.5" x14ac:dyDescent="0.2">
      <c r="A10" s="14">
        <v>309</v>
      </c>
      <c r="B10" s="9" t="s">
        <v>12</v>
      </c>
      <c r="C10" s="14">
        <v>150</v>
      </c>
      <c r="D10" s="15">
        <f>36.78/100*15</f>
        <v>5.5170000000000003</v>
      </c>
      <c r="E10" s="15">
        <f>30.1/100*15</f>
        <v>4.5149999999999997</v>
      </c>
      <c r="F10" s="15">
        <f>176.3/100*15</f>
        <v>26.445</v>
      </c>
      <c r="G10" s="15">
        <f>1123/100*15</f>
        <v>168.45000000000002</v>
      </c>
      <c r="H10" s="15">
        <f>0.37/100*15</f>
        <v>5.5500000000000001E-2</v>
      </c>
      <c r="I10" s="15"/>
      <c r="J10" s="15"/>
      <c r="K10" s="15">
        <f>6.46/100*15</f>
        <v>0.96900000000000008</v>
      </c>
      <c r="L10" s="15">
        <f>32.4/100*15</f>
        <v>4.8600000000000003</v>
      </c>
      <c r="M10" s="15">
        <f>247.8/100*15</f>
        <v>37.17</v>
      </c>
      <c r="N10" s="15">
        <f>140.8/100*15</f>
        <v>21.12</v>
      </c>
      <c r="O10" s="15">
        <f>7.37/100*15</f>
        <v>1.1054999999999999</v>
      </c>
    </row>
    <row r="11" spans="1:15" s="13" customFormat="1" ht="38.25" x14ac:dyDescent="0.25">
      <c r="A11" s="14">
        <v>246</v>
      </c>
      <c r="B11" s="9" t="s">
        <v>55</v>
      </c>
      <c r="C11" s="14">
        <v>100</v>
      </c>
      <c r="D11" s="15">
        <v>13.36</v>
      </c>
      <c r="E11" s="15">
        <v>14.08</v>
      </c>
      <c r="F11" s="15">
        <v>0.85</v>
      </c>
      <c r="G11" s="15">
        <v>164</v>
      </c>
      <c r="H11" s="15">
        <v>0.01</v>
      </c>
      <c r="I11" s="15">
        <v>1.2</v>
      </c>
      <c r="J11" s="15"/>
      <c r="K11" s="15"/>
      <c r="L11" s="15">
        <v>23.6</v>
      </c>
      <c r="M11" s="15">
        <v>117.03</v>
      </c>
      <c r="N11" s="15">
        <v>20.27</v>
      </c>
      <c r="O11" s="15">
        <v>2</v>
      </c>
    </row>
    <row r="12" spans="1:15" s="13" customFormat="1" ht="25.5" x14ac:dyDescent="0.25">
      <c r="A12" s="108">
        <v>389</v>
      </c>
      <c r="B12" s="9" t="s">
        <v>129</v>
      </c>
      <c r="C12" s="88">
        <v>200</v>
      </c>
      <c r="D12" s="89">
        <f>1</f>
        <v>1</v>
      </c>
      <c r="E12" s="88">
        <v>0</v>
      </c>
      <c r="F12" s="89">
        <f>101/5</f>
        <v>20.2</v>
      </c>
      <c r="G12" s="88">
        <f>424/5</f>
        <v>84.8</v>
      </c>
      <c r="H12" s="89">
        <f>0.11/5</f>
        <v>2.1999999999999999E-2</v>
      </c>
      <c r="I12" s="88">
        <f>30/5</f>
        <v>6</v>
      </c>
      <c r="J12" s="89">
        <v>0</v>
      </c>
      <c r="K12" s="88">
        <f>1/5</f>
        <v>0.2</v>
      </c>
      <c r="L12" s="89">
        <f>70/5</f>
        <v>14</v>
      </c>
      <c r="M12" s="88">
        <f>70/5</f>
        <v>14</v>
      </c>
      <c r="N12" s="89">
        <f>40/5</f>
        <v>8</v>
      </c>
      <c r="O12" s="90">
        <f>14/5</f>
        <v>2.8</v>
      </c>
    </row>
    <row r="13" spans="1:15" s="13" customFormat="1" x14ac:dyDescent="0.25">
      <c r="A13" s="42"/>
      <c r="B13" s="9" t="s">
        <v>14</v>
      </c>
      <c r="C13" s="14">
        <v>40</v>
      </c>
      <c r="D13" s="15">
        <v>2.2400000000000002</v>
      </c>
      <c r="E13" s="15">
        <v>0.88</v>
      </c>
      <c r="F13" s="15">
        <v>19.760000000000002</v>
      </c>
      <c r="G13" s="15">
        <v>91.96</v>
      </c>
      <c r="H13" s="15">
        <v>0.04</v>
      </c>
      <c r="I13" s="15"/>
      <c r="J13" s="15"/>
      <c r="K13" s="15">
        <v>0.36</v>
      </c>
      <c r="L13" s="15">
        <v>9.1999999999999993</v>
      </c>
      <c r="M13" s="15">
        <v>42.4</v>
      </c>
      <c r="N13" s="15">
        <v>10</v>
      </c>
      <c r="O13" s="15">
        <v>1.24</v>
      </c>
    </row>
    <row r="14" spans="1:15" s="13" customFormat="1" x14ac:dyDescent="0.25">
      <c r="A14" s="42"/>
      <c r="B14" s="9" t="s">
        <v>76</v>
      </c>
      <c r="C14" s="92">
        <v>40</v>
      </c>
      <c r="D14" s="15">
        <v>3.16</v>
      </c>
      <c r="E14" s="15">
        <v>0.4</v>
      </c>
      <c r="F14" s="15">
        <v>19.32</v>
      </c>
      <c r="G14" s="15">
        <v>93.52</v>
      </c>
      <c r="H14" s="15">
        <v>0.04</v>
      </c>
      <c r="I14" s="15"/>
      <c r="J14" s="15"/>
      <c r="K14" s="15">
        <v>0.52</v>
      </c>
      <c r="L14" s="15">
        <v>9.1999999999999993</v>
      </c>
      <c r="M14" s="15">
        <v>34.799999999999997</v>
      </c>
      <c r="N14" s="15">
        <v>13.2</v>
      </c>
      <c r="O14" s="15">
        <v>0.44</v>
      </c>
    </row>
    <row r="15" spans="1:15" s="27" customFormat="1" ht="15.75" customHeight="1" x14ac:dyDescent="0.2">
      <c r="A15" s="93" t="s">
        <v>11</v>
      </c>
      <c r="B15" s="94"/>
      <c r="C15" s="94"/>
      <c r="D15" s="102">
        <f t="shared" ref="D15:F15" si="0">SUM(D8:D14)</f>
        <v>29.342000000000002</v>
      </c>
      <c r="E15" s="102">
        <f t="shared" si="0"/>
        <v>30.035</v>
      </c>
      <c r="F15" s="102">
        <f t="shared" si="0"/>
        <v>107.4975</v>
      </c>
      <c r="G15" s="102">
        <f>SUM(G8:G14)</f>
        <v>831.18</v>
      </c>
      <c r="H15" s="102"/>
      <c r="I15" s="102"/>
      <c r="J15" s="102"/>
      <c r="K15" s="102"/>
      <c r="L15" s="102"/>
      <c r="M15" s="102"/>
      <c r="N15" s="102"/>
      <c r="O15" s="102"/>
    </row>
    <row r="16" spans="1:15" ht="15.75" thickBot="1" x14ac:dyDescent="0.3"/>
    <row r="17" spans="2:11" ht="26.25" thickBot="1" x14ac:dyDescent="0.3">
      <c r="B17" s="133" t="s">
        <v>58</v>
      </c>
      <c r="C17" s="134"/>
      <c r="D17" s="134"/>
      <c r="E17" s="134"/>
      <c r="F17" s="137" t="s">
        <v>59</v>
      </c>
      <c r="G17" s="138"/>
      <c r="H17" s="139"/>
      <c r="I17" s="32" t="s">
        <v>60</v>
      </c>
    </row>
    <row r="18" spans="2:11" ht="15.75" thickBot="1" x14ac:dyDescent="0.3">
      <c r="B18" s="135"/>
      <c r="C18" s="136"/>
      <c r="D18" s="136"/>
      <c r="E18" s="136"/>
      <c r="F18" s="33" t="s">
        <v>1</v>
      </c>
      <c r="G18" s="33" t="s">
        <v>2</v>
      </c>
      <c r="H18" s="33" t="s">
        <v>3</v>
      </c>
      <c r="I18" s="34"/>
    </row>
    <row r="19" spans="2:11" ht="15.75" thickBot="1" x14ac:dyDescent="0.3">
      <c r="B19" s="140" t="s">
        <v>62</v>
      </c>
      <c r="C19" s="141"/>
      <c r="D19" s="141"/>
      <c r="E19" s="141"/>
      <c r="F19" s="33" t="s">
        <v>63</v>
      </c>
      <c r="G19" s="33" t="s">
        <v>64</v>
      </c>
      <c r="H19" s="33" t="s">
        <v>65</v>
      </c>
      <c r="I19" s="33" t="s">
        <v>66</v>
      </c>
    </row>
    <row r="20" spans="2:11" ht="15.75" thickBot="1" x14ac:dyDescent="0.3">
      <c r="B20" s="140" t="s">
        <v>61</v>
      </c>
      <c r="C20" s="141"/>
      <c r="D20" s="141"/>
      <c r="E20" s="141"/>
      <c r="F20" s="35">
        <f>D15</f>
        <v>29.342000000000002</v>
      </c>
      <c r="G20" s="35">
        <f>E15</f>
        <v>30.035</v>
      </c>
      <c r="H20" s="35">
        <f>F15</f>
        <v>107.4975</v>
      </c>
      <c r="I20" s="35">
        <f>G15</f>
        <v>831.18</v>
      </c>
    </row>
    <row r="22" spans="2:11" ht="32.25" customHeight="1" x14ac:dyDescent="0.25">
      <c r="B22" s="152" t="s">
        <v>109</v>
      </c>
      <c r="C22" s="152"/>
      <c r="D22" s="152"/>
      <c r="E22" s="152"/>
      <c r="F22" s="152"/>
      <c r="G22" s="152"/>
      <c r="H22" s="152"/>
    </row>
    <row r="23" spans="2:11" ht="20.25" customHeight="1" x14ac:dyDescent="0.25">
      <c r="B23" s="67" t="s">
        <v>71</v>
      </c>
      <c r="C23" s="147" t="s">
        <v>72</v>
      </c>
      <c r="D23" s="147"/>
      <c r="E23" s="147"/>
      <c r="F23" s="147"/>
      <c r="G23" s="153" t="s">
        <v>123</v>
      </c>
      <c r="H23" s="154"/>
      <c r="J23" s="12" t="s">
        <v>40</v>
      </c>
      <c r="K23" s="11" t="s">
        <v>48</v>
      </c>
    </row>
    <row r="24" spans="2:11" ht="25.5" x14ac:dyDescent="0.25">
      <c r="B24" s="150"/>
      <c r="C24" s="148" t="s">
        <v>73</v>
      </c>
      <c r="D24" s="149"/>
      <c r="E24" s="148" t="s">
        <v>74</v>
      </c>
      <c r="F24" s="149"/>
      <c r="G24" s="67" t="s">
        <v>73</v>
      </c>
      <c r="H24" s="67" t="s">
        <v>74</v>
      </c>
      <c r="J24" s="12" t="s">
        <v>42</v>
      </c>
      <c r="K24" s="11" t="s">
        <v>70</v>
      </c>
    </row>
    <row r="25" spans="2:11" ht="30" x14ac:dyDescent="0.25">
      <c r="B25" s="151"/>
      <c r="C25" s="148" t="s">
        <v>47</v>
      </c>
      <c r="D25" s="149"/>
      <c r="E25" s="148" t="s">
        <v>47</v>
      </c>
      <c r="F25" s="149"/>
      <c r="G25" s="67" t="s">
        <v>47</v>
      </c>
      <c r="H25" s="67" t="s">
        <v>47</v>
      </c>
      <c r="J25" s="12" t="s">
        <v>44</v>
      </c>
      <c r="K25" s="11" t="s">
        <v>45</v>
      </c>
    </row>
    <row r="26" spans="2:11" ht="63" x14ac:dyDescent="0.25">
      <c r="B26" s="68" t="s">
        <v>75</v>
      </c>
      <c r="C26" s="155">
        <v>80</v>
      </c>
      <c r="D26" s="156"/>
      <c r="E26" s="155">
        <v>80</v>
      </c>
      <c r="F26" s="156"/>
      <c r="G26" s="69">
        <v>40</v>
      </c>
      <c r="H26" s="69">
        <v>40</v>
      </c>
      <c r="J26" s="12" t="s">
        <v>46</v>
      </c>
      <c r="K26" s="11" t="s">
        <v>47</v>
      </c>
    </row>
    <row r="27" spans="2:11" x14ac:dyDescent="0.25">
      <c r="B27" s="68" t="s">
        <v>76</v>
      </c>
      <c r="C27" s="155">
        <v>150</v>
      </c>
      <c r="D27" s="156"/>
      <c r="E27" s="155">
        <v>150</v>
      </c>
      <c r="F27" s="156"/>
      <c r="G27" s="69">
        <v>40</v>
      </c>
      <c r="H27" s="69">
        <v>40</v>
      </c>
    </row>
    <row r="28" spans="2:11" x14ac:dyDescent="0.25">
      <c r="B28" s="68" t="s">
        <v>77</v>
      </c>
      <c r="C28" s="155">
        <v>15</v>
      </c>
      <c r="D28" s="156"/>
      <c r="E28" s="155">
        <v>15</v>
      </c>
      <c r="F28" s="156"/>
      <c r="G28" s="69">
        <f>2+0.6+17.9</f>
        <v>20.5</v>
      </c>
      <c r="H28" s="69">
        <v>20.5</v>
      </c>
    </row>
    <row r="29" spans="2:11" x14ac:dyDescent="0.25">
      <c r="B29" s="70" t="s">
        <v>78</v>
      </c>
      <c r="C29" s="157">
        <v>45</v>
      </c>
      <c r="D29" s="158"/>
      <c r="E29" s="157">
        <v>45</v>
      </c>
      <c r="F29" s="158"/>
      <c r="G29" s="71">
        <v>44</v>
      </c>
      <c r="H29" s="71">
        <v>44</v>
      </c>
    </row>
    <row r="30" spans="2:11" x14ac:dyDescent="0.25">
      <c r="B30" s="68" t="s">
        <v>79</v>
      </c>
      <c r="C30" s="155">
        <v>15</v>
      </c>
      <c r="D30" s="156"/>
      <c r="E30" s="155">
        <v>15</v>
      </c>
      <c r="F30" s="156"/>
      <c r="G30" s="69">
        <v>52.5</v>
      </c>
      <c r="H30" s="69">
        <v>52.5</v>
      </c>
    </row>
    <row r="31" spans="2:11" x14ac:dyDescent="0.25">
      <c r="B31" s="68" t="s">
        <v>80</v>
      </c>
      <c r="C31" s="155" t="s">
        <v>81</v>
      </c>
      <c r="D31" s="156"/>
      <c r="E31" s="159">
        <v>188</v>
      </c>
      <c r="F31" s="160"/>
      <c r="G31" s="69">
        <v>40</v>
      </c>
      <c r="H31" s="69">
        <v>30</v>
      </c>
    </row>
    <row r="32" spans="2:11" x14ac:dyDescent="0.25">
      <c r="B32" s="68" t="s">
        <v>82</v>
      </c>
      <c r="C32" s="155">
        <v>350</v>
      </c>
      <c r="D32" s="156"/>
      <c r="E32" s="155" t="s">
        <v>83</v>
      </c>
      <c r="F32" s="156"/>
      <c r="G32" s="69">
        <f>63+12.5+3.25+12+2.5+3+2.5+12.5+12+12+92.6</f>
        <v>227.85</v>
      </c>
      <c r="H32" s="87">
        <f>50+10+2.5+10+2.5+10+2.5+2+2+30</f>
        <v>121.5</v>
      </c>
    </row>
    <row r="33" spans="2:8" x14ac:dyDescent="0.25">
      <c r="B33" s="68" t="s">
        <v>84</v>
      </c>
      <c r="C33" s="155">
        <v>200</v>
      </c>
      <c r="D33" s="156"/>
      <c r="E33" s="155" t="s">
        <v>85</v>
      </c>
      <c r="F33" s="156"/>
      <c r="G33" s="69"/>
      <c r="H33" s="69"/>
    </row>
    <row r="34" spans="2:8" ht="25.5" x14ac:dyDescent="0.25">
      <c r="B34" s="68" t="s">
        <v>86</v>
      </c>
      <c r="C34" s="155">
        <v>15</v>
      </c>
      <c r="D34" s="156"/>
      <c r="E34" s="155">
        <v>15</v>
      </c>
      <c r="F34" s="156"/>
      <c r="G34" s="69">
        <f>5.6</f>
        <v>5.6</v>
      </c>
      <c r="H34" s="87">
        <v>10</v>
      </c>
    </row>
    <row r="35" spans="2:8" ht="38.25" x14ac:dyDescent="0.25">
      <c r="B35" s="68" t="s">
        <v>87</v>
      </c>
      <c r="C35" s="155">
        <v>200</v>
      </c>
      <c r="D35" s="156"/>
      <c r="E35" s="155">
        <v>200</v>
      </c>
      <c r="F35" s="156"/>
      <c r="G35" s="69">
        <v>200</v>
      </c>
      <c r="H35" s="69">
        <v>200</v>
      </c>
    </row>
    <row r="36" spans="2:8" ht="25.5" x14ac:dyDescent="0.25">
      <c r="B36" s="68" t="s">
        <v>88</v>
      </c>
      <c r="C36" s="155" t="s">
        <v>89</v>
      </c>
      <c r="D36" s="156"/>
      <c r="E36" s="155">
        <v>70</v>
      </c>
      <c r="F36" s="156"/>
      <c r="G36" s="87">
        <f>110+40</f>
        <v>150</v>
      </c>
      <c r="H36" s="69">
        <f>81+25</f>
        <v>106</v>
      </c>
    </row>
    <row r="37" spans="2:8" ht="25.5" x14ac:dyDescent="0.25">
      <c r="B37" s="68" t="s">
        <v>90</v>
      </c>
      <c r="C37" s="155" t="s">
        <v>91</v>
      </c>
      <c r="D37" s="156"/>
      <c r="E37" s="155">
        <v>35</v>
      </c>
      <c r="F37" s="156"/>
      <c r="G37" s="69"/>
      <c r="H37" s="69"/>
    </row>
    <row r="38" spans="2:8" x14ac:dyDescent="0.25">
      <c r="B38" s="68" t="s">
        <v>92</v>
      </c>
      <c r="C38" s="155">
        <v>60</v>
      </c>
      <c r="D38" s="156"/>
      <c r="E38" s="155">
        <v>58</v>
      </c>
      <c r="F38" s="156"/>
      <c r="G38" s="69"/>
      <c r="H38" s="69"/>
    </row>
    <row r="39" spans="2:8" x14ac:dyDescent="0.25">
      <c r="B39" s="68" t="s">
        <v>93</v>
      </c>
      <c r="C39" s="155">
        <v>15</v>
      </c>
      <c r="D39" s="156"/>
      <c r="E39" s="155">
        <v>14.7</v>
      </c>
      <c r="F39" s="156"/>
      <c r="G39" s="69"/>
      <c r="H39" s="69"/>
    </row>
    <row r="40" spans="2:8" ht="25.5" x14ac:dyDescent="0.25">
      <c r="B40" s="68" t="s">
        <v>94</v>
      </c>
      <c r="C40" s="155">
        <v>300</v>
      </c>
      <c r="D40" s="156"/>
      <c r="E40" s="155">
        <v>300</v>
      </c>
      <c r="F40" s="156"/>
      <c r="G40" s="69"/>
      <c r="H40" s="69"/>
    </row>
    <row r="41" spans="2:8" ht="38.25" x14ac:dyDescent="0.25">
      <c r="B41" s="68" t="s">
        <v>95</v>
      </c>
      <c r="C41" s="155">
        <v>150</v>
      </c>
      <c r="D41" s="156"/>
      <c r="E41" s="155">
        <v>150</v>
      </c>
      <c r="F41" s="156"/>
      <c r="G41" s="69"/>
      <c r="H41" s="69"/>
    </row>
    <row r="42" spans="2:8" ht="25.5" x14ac:dyDescent="0.25">
      <c r="B42" s="68" t="s">
        <v>96</v>
      </c>
      <c r="C42" s="155">
        <v>50</v>
      </c>
      <c r="D42" s="156"/>
      <c r="E42" s="155">
        <v>50</v>
      </c>
      <c r="F42" s="156"/>
      <c r="G42" s="69"/>
      <c r="H42" s="69"/>
    </row>
    <row r="43" spans="2:8" x14ac:dyDescent="0.25">
      <c r="B43" s="68" t="s">
        <v>97</v>
      </c>
      <c r="C43" s="155">
        <v>10</v>
      </c>
      <c r="D43" s="156"/>
      <c r="E43" s="155">
        <v>9.8000000000000007</v>
      </c>
      <c r="F43" s="156"/>
      <c r="G43" s="69"/>
      <c r="H43" s="87"/>
    </row>
    <row r="44" spans="2:8" ht="25.5" x14ac:dyDescent="0.25">
      <c r="B44" s="68" t="s">
        <v>98</v>
      </c>
      <c r="C44" s="155">
        <v>10</v>
      </c>
      <c r="D44" s="156"/>
      <c r="E44" s="155">
        <v>10</v>
      </c>
      <c r="F44" s="156"/>
      <c r="G44" s="74"/>
      <c r="H44" s="74"/>
    </row>
    <row r="45" spans="2:8" x14ac:dyDescent="0.25">
      <c r="B45" s="68" t="s">
        <v>99</v>
      </c>
      <c r="C45" s="155">
        <v>30</v>
      </c>
      <c r="D45" s="156"/>
      <c r="E45" s="155">
        <v>30</v>
      </c>
      <c r="F45" s="156"/>
      <c r="G45" s="69">
        <v>10</v>
      </c>
      <c r="H45" s="69">
        <v>10</v>
      </c>
    </row>
    <row r="46" spans="2:8" x14ac:dyDescent="0.25">
      <c r="B46" s="68" t="s">
        <v>100</v>
      </c>
      <c r="C46" s="155">
        <v>15</v>
      </c>
      <c r="D46" s="156"/>
      <c r="E46" s="155">
        <v>15</v>
      </c>
      <c r="F46" s="156"/>
      <c r="G46" s="87">
        <v>15.7</v>
      </c>
      <c r="H46" s="69">
        <v>15.7</v>
      </c>
    </row>
    <row r="47" spans="2:8" x14ac:dyDescent="0.25">
      <c r="B47" s="68" t="s">
        <v>101</v>
      </c>
      <c r="C47" s="155" t="s">
        <v>102</v>
      </c>
      <c r="D47" s="156"/>
      <c r="E47" s="155">
        <v>40</v>
      </c>
      <c r="F47" s="156"/>
      <c r="G47" s="69"/>
      <c r="H47" s="69"/>
    </row>
    <row r="48" spans="2:8" x14ac:dyDescent="0.25">
      <c r="B48" s="68" t="s">
        <v>103</v>
      </c>
      <c r="C48" s="155">
        <v>40</v>
      </c>
      <c r="D48" s="156"/>
      <c r="E48" s="159">
        <v>40</v>
      </c>
      <c r="F48" s="160"/>
      <c r="G48" s="69">
        <v>10</v>
      </c>
      <c r="H48" s="69">
        <v>10</v>
      </c>
    </row>
    <row r="49" spans="2:8" x14ac:dyDescent="0.25">
      <c r="B49" s="68" t="s">
        <v>104</v>
      </c>
      <c r="C49" s="159">
        <v>10</v>
      </c>
      <c r="D49" s="160"/>
      <c r="E49" s="155">
        <v>10</v>
      </c>
      <c r="F49" s="156"/>
      <c r="G49" s="69"/>
      <c r="H49" s="69"/>
    </row>
    <row r="50" spans="2:8" x14ac:dyDescent="0.25">
      <c r="B50" s="68" t="s">
        <v>105</v>
      </c>
      <c r="C50" s="155">
        <v>0.4</v>
      </c>
      <c r="D50" s="156"/>
      <c r="E50" s="155">
        <v>0.4</v>
      </c>
      <c r="F50" s="156"/>
      <c r="G50" s="69"/>
      <c r="H50" s="69"/>
    </row>
    <row r="51" spans="2:8" x14ac:dyDescent="0.25">
      <c r="B51" s="68" t="s">
        <v>106</v>
      </c>
      <c r="C51" s="155">
        <v>1.2</v>
      </c>
      <c r="D51" s="156"/>
      <c r="E51" s="155">
        <v>1.2</v>
      </c>
      <c r="F51" s="156"/>
      <c r="G51" s="69"/>
      <c r="H51" s="69"/>
    </row>
    <row r="52" spans="2:8" x14ac:dyDescent="0.25">
      <c r="B52" s="68" t="s">
        <v>107</v>
      </c>
      <c r="C52" s="155">
        <v>1</v>
      </c>
      <c r="D52" s="156"/>
      <c r="E52" s="155">
        <v>1</v>
      </c>
      <c r="F52" s="156"/>
      <c r="G52" s="69"/>
      <c r="H52" s="69"/>
    </row>
    <row r="53" spans="2:8" x14ac:dyDescent="0.25">
      <c r="B53" s="68" t="s">
        <v>108</v>
      </c>
      <c r="C53" s="155">
        <v>5</v>
      </c>
      <c r="D53" s="156"/>
      <c r="E53" s="155">
        <v>5</v>
      </c>
      <c r="F53" s="156"/>
      <c r="G53" s="69">
        <v>3.2</v>
      </c>
      <c r="H53" s="69">
        <v>3.2</v>
      </c>
    </row>
  </sheetData>
  <sheetProtection formatCells="0" formatColumns="0" formatRows="0" insertColumns="0" insertRows="0" insertHyperlinks="0" deleteColumns="0" deleteRows="0" sort="0" autoFilter="0" pivotTables="0"/>
  <mergeCells count="76">
    <mergeCell ref="E30:F30"/>
    <mergeCell ref="E29:F29"/>
    <mergeCell ref="E28:F28"/>
    <mergeCell ref="E27:F27"/>
    <mergeCell ref="E26:F26"/>
    <mergeCell ref="E35:F35"/>
    <mergeCell ref="E34:F34"/>
    <mergeCell ref="E33:F33"/>
    <mergeCell ref="E32:F32"/>
    <mergeCell ref="E31:F31"/>
    <mergeCell ref="E40:F40"/>
    <mergeCell ref="E39:F39"/>
    <mergeCell ref="E38:F38"/>
    <mergeCell ref="E37:F37"/>
    <mergeCell ref="E36:F36"/>
    <mergeCell ref="E45:F45"/>
    <mergeCell ref="E44:F44"/>
    <mergeCell ref="E43:F43"/>
    <mergeCell ref="E42:F42"/>
    <mergeCell ref="E41:F41"/>
    <mergeCell ref="E50:F50"/>
    <mergeCell ref="E49:F49"/>
    <mergeCell ref="E48:F48"/>
    <mergeCell ref="E47:F47"/>
    <mergeCell ref="E46:F46"/>
    <mergeCell ref="C51:D51"/>
    <mergeCell ref="C52:D52"/>
    <mergeCell ref="C53:D53"/>
    <mergeCell ref="E53:F53"/>
    <mergeCell ref="E52:F52"/>
    <mergeCell ref="E51:F51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B22:H22"/>
    <mergeCell ref="C23:F23"/>
    <mergeCell ref="B24:B25"/>
    <mergeCell ref="C24:D24"/>
    <mergeCell ref="E24:F24"/>
    <mergeCell ref="G23:H23"/>
    <mergeCell ref="C25:D25"/>
    <mergeCell ref="E25:F25"/>
    <mergeCell ref="B17:E18"/>
    <mergeCell ref="F17:H17"/>
    <mergeCell ref="B19:E19"/>
    <mergeCell ref="B20:E20"/>
    <mergeCell ref="A7:O7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68" fitToWidth="2" fitToHeight="2" orientation="landscape" r:id="rId1"/>
  <rowBreaks count="1" manualBreakCount="1">
    <brk id="20" max="1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Q53"/>
  <sheetViews>
    <sheetView view="pageBreakPreview" topLeftCell="A22" zoomScale="80" zoomScaleNormal="100" zoomScaleSheetLayoutView="80" workbookViewId="0">
      <selection activeCell="H53" sqref="H53"/>
    </sheetView>
  </sheetViews>
  <sheetFormatPr defaultRowHeight="15" x14ac:dyDescent="0.25"/>
  <cols>
    <col min="1" max="1" width="12.7109375" customWidth="1"/>
    <col min="2" max="2" width="27.28515625" bestFit="1" customWidth="1"/>
    <col min="6" max="6" width="10.7109375" bestFit="1" customWidth="1"/>
    <col min="7" max="7" width="9.5703125" bestFit="1" customWidth="1"/>
    <col min="9" max="9" width="9.5703125" bestFit="1" customWidth="1"/>
    <col min="10" max="10" width="10.42578125" customWidth="1"/>
  </cols>
  <sheetData>
    <row r="1" spans="1:17" ht="15.75" x14ac:dyDescent="0.25">
      <c r="A1" s="12" t="s">
        <v>40</v>
      </c>
      <c r="B1" s="11" t="s">
        <v>49</v>
      </c>
    </row>
    <row r="2" spans="1:17" ht="15.75" x14ac:dyDescent="0.25">
      <c r="A2" s="12" t="s">
        <v>42</v>
      </c>
      <c r="B2" s="11" t="s">
        <v>70</v>
      </c>
    </row>
    <row r="3" spans="1:17" ht="15.75" x14ac:dyDescent="0.25">
      <c r="A3" s="12" t="s">
        <v>44</v>
      </c>
      <c r="B3" s="11" t="s">
        <v>45</v>
      </c>
    </row>
    <row r="4" spans="1:17" ht="31.5" x14ac:dyDescent="0.25">
      <c r="A4" s="12" t="s">
        <v>46</v>
      </c>
      <c r="B4" s="11" t="s">
        <v>47</v>
      </c>
    </row>
    <row r="5" spans="1:17" ht="15.75" x14ac:dyDescent="0.25">
      <c r="A5" s="216" t="s">
        <v>29</v>
      </c>
      <c r="B5" s="216" t="s">
        <v>19</v>
      </c>
      <c r="C5" s="216" t="s">
        <v>21</v>
      </c>
      <c r="D5" s="213" t="s">
        <v>32</v>
      </c>
      <c r="E5" s="214"/>
      <c r="F5" s="215"/>
      <c r="G5" s="216" t="s">
        <v>0</v>
      </c>
      <c r="H5" s="213" t="s">
        <v>31</v>
      </c>
      <c r="I5" s="214"/>
      <c r="J5" s="214"/>
      <c r="K5" s="215"/>
      <c r="L5" s="213" t="s">
        <v>30</v>
      </c>
      <c r="M5" s="214"/>
      <c r="N5" s="214"/>
      <c r="O5" s="215"/>
    </row>
    <row r="6" spans="1:17" ht="15.75" x14ac:dyDescent="0.25">
      <c r="A6" s="217"/>
      <c r="B6" s="218"/>
      <c r="C6" s="219"/>
      <c r="D6" s="8" t="s">
        <v>1</v>
      </c>
      <c r="E6" s="8" t="s">
        <v>2</v>
      </c>
      <c r="F6" s="8" t="s">
        <v>3</v>
      </c>
      <c r="G6" s="217"/>
      <c r="H6" s="8" t="s">
        <v>18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</row>
    <row r="7" spans="1:17" s="27" customFormat="1" ht="16.149999999999999" customHeight="1" x14ac:dyDescent="0.2">
      <c r="A7" s="220" t="s">
        <v>20</v>
      </c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46"/>
      <c r="Q7" s="46"/>
    </row>
    <row r="8" spans="1:17" s="13" customFormat="1" ht="25.5" x14ac:dyDescent="0.25">
      <c r="A8" s="14">
        <v>45</v>
      </c>
      <c r="B8" s="9" t="s">
        <v>57</v>
      </c>
      <c r="C8" s="14">
        <v>100</v>
      </c>
      <c r="D8" s="15">
        <f>13.12/10</f>
        <v>1.3119999999999998</v>
      </c>
      <c r="E8" s="15">
        <f>32.49/10</f>
        <v>3.2490000000000001</v>
      </c>
      <c r="F8" s="15">
        <f>6.5</f>
        <v>6.5</v>
      </c>
      <c r="G8" s="15">
        <v>60.4</v>
      </c>
      <c r="H8" s="15">
        <v>0.02</v>
      </c>
      <c r="I8" s="15">
        <v>17.010000000000002</v>
      </c>
      <c r="J8" s="15"/>
      <c r="K8" s="15">
        <v>8.39</v>
      </c>
      <c r="L8" s="15">
        <v>24.97</v>
      </c>
      <c r="M8" s="15">
        <v>28.3</v>
      </c>
      <c r="N8" s="15">
        <v>15.09</v>
      </c>
      <c r="O8" s="15">
        <v>0.47</v>
      </c>
    </row>
    <row r="9" spans="1:17" s="13" customFormat="1" ht="38.25" x14ac:dyDescent="0.25">
      <c r="A9" s="14">
        <v>82</v>
      </c>
      <c r="B9" s="9" t="s">
        <v>111</v>
      </c>
      <c r="C9" s="14">
        <v>250</v>
      </c>
      <c r="D9" s="15">
        <f>(7.21/4)+0.8</f>
        <v>2.6025</v>
      </c>
      <c r="E9" s="15">
        <f>(19.68/4)+0.2</f>
        <v>5.12</v>
      </c>
      <c r="F9" s="15">
        <f>43.73/4</f>
        <v>10.932499999999999</v>
      </c>
      <c r="G9" s="15">
        <f>(415/4)+5+30</f>
        <v>138.75</v>
      </c>
      <c r="H9" s="15">
        <f>0.2/4</f>
        <v>0.05</v>
      </c>
      <c r="I9" s="15">
        <f>42.7/4</f>
        <v>10.675000000000001</v>
      </c>
      <c r="J9" s="15"/>
      <c r="K9" s="15">
        <f>9.6/4</f>
        <v>2.4</v>
      </c>
      <c r="L9" s="15">
        <f>(198.9/4)+2</f>
        <v>51.725000000000001</v>
      </c>
      <c r="M9" s="15">
        <f>218.4/4</f>
        <v>54.6</v>
      </c>
      <c r="N9" s="15">
        <f>104.5/4</f>
        <v>26.125</v>
      </c>
      <c r="O9" s="15">
        <f>4.9/4</f>
        <v>1.2250000000000001</v>
      </c>
    </row>
    <row r="10" spans="1:17" s="13" customFormat="1" x14ac:dyDescent="0.25">
      <c r="A10" s="14">
        <v>302</v>
      </c>
      <c r="B10" s="9" t="s">
        <v>17</v>
      </c>
      <c r="C10" s="14">
        <v>150</v>
      </c>
      <c r="D10" s="15">
        <f>57.32/100*15</f>
        <v>8.5980000000000008</v>
      </c>
      <c r="E10" s="15">
        <f>40.62/100*15</f>
        <v>6.0929999999999991</v>
      </c>
      <c r="F10" s="15">
        <f>257.61/100*15</f>
        <v>38.641500000000008</v>
      </c>
      <c r="G10" s="15">
        <f>1625/100*15</f>
        <v>243.75</v>
      </c>
      <c r="H10" s="15">
        <f>1.39/100*15</f>
        <v>0.20849999999999999</v>
      </c>
      <c r="I10" s="15"/>
      <c r="J10" s="15"/>
      <c r="K10" s="15">
        <f>4.05/100*15</f>
        <v>0.60750000000000004</v>
      </c>
      <c r="L10" s="15">
        <f>98.8/100*15</f>
        <v>14.82</v>
      </c>
      <c r="M10" s="15">
        <f>1359.5/100*15</f>
        <v>203.92500000000001</v>
      </c>
      <c r="N10" s="15">
        <f>905.5/100*15</f>
        <v>135.82499999999999</v>
      </c>
      <c r="O10" s="15">
        <f>30.4/100*15</f>
        <v>4.5599999999999996</v>
      </c>
    </row>
    <row r="11" spans="1:17" s="13" customFormat="1" x14ac:dyDescent="0.25">
      <c r="A11" s="14">
        <v>261</v>
      </c>
      <c r="B11" s="9" t="s">
        <v>116</v>
      </c>
      <c r="C11" s="14">
        <v>100</v>
      </c>
      <c r="D11" s="15">
        <v>13.26</v>
      </c>
      <c r="E11" s="15">
        <v>8.82</v>
      </c>
      <c r="F11" s="15">
        <v>2.62</v>
      </c>
      <c r="G11" s="15">
        <v>160</v>
      </c>
      <c r="H11" s="15">
        <v>0.19</v>
      </c>
      <c r="I11" s="15">
        <v>24.77</v>
      </c>
      <c r="J11" s="15">
        <v>2337</v>
      </c>
      <c r="K11" s="15">
        <v>2.59</v>
      </c>
      <c r="L11" s="15">
        <v>25.62</v>
      </c>
      <c r="M11" s="15">
        <v>245.55</v>
      </c>
      <c r="N11" s="15">
        <v>16.829999999999998</v>
      </c>
      <c r="O11" s="15">
        <v>13.51</v>
      </c>
    </row>
    <row r="12" spans="1:17" s="26" customFormat="1" ht="12.75" x14ac:dyDescent="0.2">
      <c r="A12" s="106">
        <v>348</v>
      </c>
      <c r="B12" s="9" t="s">
        <v>53</v>
      </c>
      <c r="C12" s="106">
        <v>200</v>
      </c>
      <c r="D12" s="15">
        <f>3.9/5</f>
        <v>0.78</v>
      </c>
      <c r="E12" s="15">
        <f>0.23/5</f>
        <v>4.5999999999999999E-2</v>
      </c>
      <c r="F12" s="15">
        <f>138.15/5</f>
        <v>27.630000000000003</v>
      </c>
      <c r="G12" s="15">
        <f>574/5</f>
        <v>114.8</v>
      </c>
      <c r="H12" s="15">
        <f>0.08/5</f>
        <v>1.6E-2</v>
      </c>
      <c r="I12" s="15">
        <f>3/5</f>
        <v>0.6</v>
      </c>
      <c r="J12" s="15"/>
      <c r="K12" s="15">
        <f>4.12/5</f>
        <v>0.82400000000000007</v>
      </c>
      <c r="L12" s="15">
        <f>161.6/5</f>
        <v>32.32</v>
      </c>
      <c r="M12" s="15">
        <f>109.5/5</f>
        <v>21.9</v>
      </c>
      <c r="N12" s="15">
        <f>87.8/5</f>
        <v>17.559999999999999</v>
      </c>
      <c r="O12" s="15">
        <f>2.4/5</f>
        <v>0.48</v>
      </c>
    </row>
    <row r="13" spans="1:17" s="13" customFormat="1" x14ac:dyDescent="0.25">
      <c r="A13" s="42"/>
      <c r="B13" s="9" t="s">
        <v>14</v>
      </c>
      <c r="C13" s="14">
        <v>40</v>
      </c>
      <c r="D13" s="15">
        <v>2.2400000000000002</v>
      </c>
      <c r="E13" s="15">
        <v>0.88</v>
      </c>
      <c r="F13" s="15">
        <v>19.760000000000002</v>
      </c>
      <c r="G13" s="15">
        <v>91.96</v>
      </c>
      <c r="H13" s="15">
        <v>0.04</v>
      </c>
      <c r="I13" s="15"/>
      <c r="J13" s="15"/>
      <c r="K13" s="15">
        <v>0.36</v>
      </c>
      <c r="L13" s="15">
        <v>9.1999999999999993</v>
      </c>
      <c r="M13" s="15">
        <v>42.4</v>
      </c>
      <c r="N13" s="15">
        <v>10</v>
      </c>
      <c r="O13" s="15">
        <v>1.24</v>
      </c>
    </row>
    <row r="14" spans="1:17" s="13" customFormat="1" x14ac:dyDescent="0.25">
      <c r="A14" s="42"/>
      <c r="B14" s="9" t="s">
        <v>76</v>
      </c>
      <c r="C14" s="92">
        <v>40</v>
      </c>
      <c r="D14" s="15">
        <v>3.16</v>
      </c>
      <c r="E14" s="15">
        <v>0.4</v>
      </c>
      <c r="F14" s="15">
        <v>19.32</v>
      </c>
      <c r="G14" s="15">
        <v>93.52</v>
      </c>
      <c r="H14" s="15">
        <v>0.04</v>
      </c>
      <c r="I14" s="15"/>
      <c r="J14" s="15"/>
      <c r="K14" s="15">
        <v>0.52</v>
      </c>
      <c r="L14" s="15">
        <v>9.1999999999999993</v>
      </c>
      <c r="M14" s="15">
        <v>34.799999999999997</v>
      </c>
      <c r="N14" s="15">
        <v>13.2</v>
      </c>
      <c r="O14" s="15">
        <v>0.44</v>
      </c>
    </row>
    <row r="15" spans="1:17" s="27" customFormat="1" ht="16.149999999999999" customHeight="1" x14ac:dyDescent="0.2">
      <c r="A15" s="93" t="s">
        <v>11</v>
      </c>
      <c r="B15" s="94"/>
      <c r="C15" s="94"/>
      <c r="D15" s="102">
        <f>SUM(D8:D14)</f>
        <v>31.952500000000004</v>
      </c>
      <c r="E15" s="102">
        <f t="shared" ref="E15:G15" si="0">SUM(E8:E14)</f>
        <v>24.607999999999997</v>
      </c>
      <c r="F15" s="102">
        <f t="shared" si="0"/>
        <v>125.40400000000002</v>
      </c>
      <c r="G15" s="102">
        <f t="shared" si="0"/>
        <v>903.18</v>
      </c>
      <c r="H15" s="102"/>
      <c r="I15" s="102"/>
      <c r="J15" s="102"/>
      <c r="K15" s="102"/>
      <c r="L15" s="102"/>
      <c r="M15" s="102"/>
      <c r="N15" s="102"/>
      <c r="O15" s="102"/>
    </row>
    <row r="16" spans="1:17" ht="15.75" thickBot="1" x14ac:dyDescent="0.3"/>
    <row r="17" spans="2:12" s="13" customFormat="1" ht="39" thickBot="1" x14ac:dyDescent="0.3">
      <c r="B17" s="133" t="s">
        <v>58</v>
      </c>
      <c r="C17" s="134"/>
      <c r="D17" s="134"/>
      <c r="E17" s="134"/>
      <c r="F17" s="137" t="s">
        <v>59</v>
      </c>
      <c r="G17" s="138"/>
      <c r="H17" s="139"/>
      <c r="I17" s="32" t="s">
        <v>60</v>
      </c>
    </row>
    <row r="18" spans="2:12" s="13" customFormat="1" ht="15.75" thickBot="1" x14ac:dyDescent="0.3">
      <c r="B18" s="135"/>
      <c r="C18" s="136"/>
      <c r="D18" s="136"/>
      <c r="E18" s="136"/>
      <c r="F18" s="33" t="s">
        <v>1</v>
      </c>
      <c r="G18" s="33" t="s">
        <v>2</v>
      </c>
      <c r="H18" s="33" t="s">
        <v>3</v>
      </c>
      <c r="I18" s="34"/>
    </row>
    <row r="19" spans="2:12" s="13" customFormat="1" ht="15.75" thickBot="1" x14ac:dyDescent="0.3">
      <c r="B19" s="140" t="s">
        <v>62</v>
      </c>
      <c r="C19" s="141"/>
      <c r="D19" s="141"/>
      <c r="E19" s="141"/>
      <c r="F19" s="33" t="s">
        <v>63</v>
      </c>
      <c r="G19" s="33" t="s">
        <v>64</v>
      </c>
      <c r="H19" s="33" t="s">
        <v>65</v>
      </c>
      <c r="I19" s="33" t="s">
        <v>66</v>
      </c>
    </row>
    <row r="20" spans="2:12" ht="15.75" thickBot="1" x14ac:dyDescent="0.3">
      <c r="B20" s="140" t="s">
        <v>61</v>
      </c>
      <c r="C20" s="141"/>
      <c r="D20" s="141"/>
      <c r="E20" s="141"/>
      <c r="F20" s="29">
        <f>D15</f>
        <v>31.952500000000004</v>
      </c>
      <c r="G20" s="29">
        <f>E15</f>
        <v>24.607999999999997</v>
      </c>
      <c r="H20" s="29">
        <f>F15</f>
        <v>125.40400000000002</v>
      </c>
      <c r="I20" s="29">
        <f>G15</f>
        <v>903.18</v>
      </c>
    </row>
    <row r="22" spans="2:12" ht="36.75" customHeight="1" x14ac:dyDescent="0.25">
      <c r="B22" s="152" t="s">
        <v>109</v>
      </c>
      <c r="C22" s="152"/>
      <c r="D22" s="152"/>
      <c r="E22" s="152"/>
      <c r="F22" s="152"/>
      <c r="G22" s="152"/>
      <c r="H22" s="152"/>
      <c r="K22" s="12" t="s">
        <v>40</v>
      </c>
      <c r="L22" s="11" t="s">
        <v>49</v>
      </c>
    </row>
    <row r="23" spans="2:12" ht="24.75" customHeight="1" x14ac:dyDescent="0.25">
      <c r="B23" s="67" t="s">
        <v>71</v>
      </c>
      <c r="C23" s="147" t="s">
        <v>72</v>
      </c>
      <c r="D23" s="147"/>
      <c r="E23" s="147"/>
      <c r="F23" s="147"/>
      <c r="G23" s="153" t="s">
        <v>123</v>
      </c>
      <c r="H23" s="154"/>
      <c r="K23" s="12" t="s">
        <v>42</v>
      </c>
      <c r="L23" s="11" t="s">
        <v>70</v>
      </c>
    </row>
    <row r="24" spans="2:12" ht="30" x14ac:dyDescent="0.25">
      <c r="B24" s="150"/>
      <c r="C24" s="148" t="s">
        <v>73</v>
      </c>
      <c r="D24" s="149"/>
      <c r="E24" s="148" t="s">
        <v>74</v>
      </c>
      <c r="F24" s="149"/>
      <c r="G24" s="67" t="s">
        <v>73</v>
      </c>
      <c r="H24" s="67" t="s">
        <v>74</v>
      </c>
      <c r="K24" s="12" t="s">
        <v>44</v>
      </c>
      <c r="L24" s="11" t="s">
        <v>45</v>
      </c>
    </row>
    <row r="25" spans="2:12" ht="63" x14ac:dyDescent="0.25">
      <c r="B25" s="151"/>
      <c r="C25" s="148" t="s">
        <v>47</v>
      </c>
      <c r="D25" s="149"/>
      <c r="E25" s="148" t="s">
        <v>47</v>
      </c>
      <c r="F25" s="149"/>
      <c r="G25" s="67" t="s">
        <v>47</v>
      </c>
      <c r="H25" s="67" t="s">
        <v>47</v>
      </c>
      <c r="K25" s="12" t="s">
        <v>46</v>
      </c>
      <c r="L25" s="11" t="s">
        <v>47</v>
      </c>
    </row>
    <row r="26" spans="2:12" ht="25.5" x14ac:dyDescent="0.25">
      <c r="B26" s="68" t="s">
        <v>75</v>
      </c>
      <c r="C26" s="155">
        <v>80</v>
      </c>
      <c r="D26" s="156"/>
      <c r="E26" s="155">
        <v>80</v>
      </c>
      <c r="F26" s="156"/>
      <c r="G26" s="69">
        <v>40</v>
      </c>
      <c r="H26" s="69">
        <v>40</v>
      </c>
    </row>
    <row r="27" spans="2:12" x14ac:dyDescent="0.25">
      <c r="B27" s="68" t="s">
        <v>76</v>
      </c>
      <c r="C27" s="155">
        <v>150</v>
      </c>
      <c r="D27" s="156"/>
      <c r="E27" s="155">
        <v>150</v>
      </c>
      <c r="F27" s="156"/>
      <c r="G27" s="69">
        <v>40</v>
      </c>
      <c r="H27" s="69">
        <v>40</v>
      </c>
    </row>
    <row r="28" spans="2:12" x14ac:dyDescent="0.25">
      <c r="B28" s="68" t="s">
        <v>77</v>
      </c>
      <c r="C28" s="155">
        <v>15</v>
      </c>
      <c r="D28" s="156"/>
      <c r="E28" s="155">
        <v>15</v>
      </c>
      <c r="F28" s="156"/>
      <c r="G28" s="69">
        <f>3+3.75+11.5</f>
        <v>18.25</v>
      </c>
      <c r="H28" s="69">
        <v>18.25</v>
      </c>
    </row>
    <row r="29" spans="2:12" x14ac:dyDescent="0.25">
      <c r="B29" s="70" t="s">
        <v>78</v>
      </c>
      <c r="C29" s="157">
        <v>45</v>
      </c>
      <c r="D29" s="158"/>
      <c r="E29" s="157">
        <v>45</v>
      </c>
      <c r="F29" s="158"/>
      <c r="G29" s="71">
        <f>35+40</f>
        <v>75</v>
      </c>
      <c r="H29" s="71">
        <v>75</v>
      </c>
    </row>
    <row r="30" spans="2:12" x14ac:dyDescent="0.25">
      <c r="B30" s="68" t="s">
        <v>79</v>
      </c>
      <c r="C30" s="155">
        <v>15</v>
      </c>
      <c r="D30" s="156"/>
      <c r="E30" s="155">
        <v>15</v>
      </c>
      <c r="F30" s="156"/>
      <c r="G30" s="69"/>
      <c r="H30" s="69"/>
    </row>
    <row r="31" spans="2:12" x14ac:dyDescent="0.25">
      <c r="B31" s="68" t="s">
        <v>80</v>
      </c>
      <c r="C31" s="155" t="s">
        <v>81</v>
      </c>
      <c r="D31" s="156"/>
      <c r="E31" s="159">
        <v>188</v>
      </c>
      <c r="F31" s="160"/>
      <c r="G31" s="69">
        <v>27</v>
      </c>
      <c r="H31" s="69">
        <v>20</v>
      </c>
    </row>
    <row r="32" spans="2:12" x14ac:dyDescent="0.25">
      <c r="B32" s="68" t="s">
        <v>82</v>
      </c>
      <c r="C32" s="155">
        <v>350</v>
      </c>
      <c r="D32" s="156"/>
      <c r="E32" s="155" t="s">
        <v>83</v>
      </c>
      <c r="F32" s="156"/>
      <c r="G32" s="69">
        <f>98.6+12.5+50+25+12.5+3.25+12+7.5</f>
        <v>221.35</v>
      </c>
      <c r="H32" s="87">
        <f>78.9+10+40+20+10+2.5+10+7.5</f>
        <v>178.9</v>
      </c>
    </row>
    <row r="33" spans="2:8" x14ac:dyDescent="0.25">
      <c r="B33" s="68" t="s">
        <v>84</v>
      </c>
      <c r="C33" s="155">
        <v>200</v>
      </c>
      <c r="D33" s="156"/>
      <c r="E33" s="155" t="s">
        <v>85</v>
      </c>
      <c r="F33" s="156"/>
      <c r="G33" s="69"/>
      <c r="H33" s="69"/>
    </row>
    <row r="34" spans="2:8" ht="25.5" x14ac:dyDescent="0.25">
      <c r="B34" s="68" t="s">
        <v>86</v>
      </c>
      <c r="C34" s="155">
        <v>15</v>
      </c>
      <c r="D34" s="156"/>
      <c r="E34" s="155">
        <v>15</v>
      </c>
      <c r="F34" s="156"/>
      <c r="G34" s="69">
        <v>20</v>
      </c>
      <c r="H34" s="69">
        <v>37</v>
      </c>
    </row>
    <row r="35" spans="2:8" ht="38.25" x14ac:dyDescent="0.25">
      <c r="B35" s="68" t="s">
        <v>87</v>
      </c>
      <c r="C35" s="155">
        <v>200</v>
      </c>
      <c r="D35" s="156"/>
      <c r="E35" s="155">
        <v>200</v>
      </c>
      <c r="F35" s="156"/>
      <c r="G35" s="69"/>
      <c r="H35" s="69"/>
    </row>
    <row r="36" spans="2:8" ht="25.5" x14ac:dyDescent="0.25">
      <c r="B36" s="68" t="s">
        <v>88</v>
      </c>
      <c r="C36" s="155" t="s">
        <v>89</v>
      </c>
      <c r="D36" s="156"/>
      <c r="E36" s="155">
        <v>70</v>
      </c>
      <c r="F36" s="156"/>
      <c r="G36" s="69">
        <f>81+40</f>
        <v>121</v>
      </c>
      <c r="H36" s="69">
        <f>71+25</f>
        <v>96</v>
      </c>
    </row>
    <row r="37" spans="2:8" ht="25.5" x14ac:dyDescent="0.25">
      <c r="B37" s="68" t="s">
        <v>90</v>
      </c>
      <c r="C37" s="155" t="s">
        <v>91</v>
      </c>
      <c r="D37" s="156"/>
      <c r="E37" s="155">
        <v>35</v>
      </c>
      <c r="F37" s="156"/>
      <c r="G37" s="69"/>
      <c r="H37" s="69"/>
    </row>
    <row r="38" spans="2:8" x14ac:dyDescent="0.25">
      <c r="B38" s="68" t="s">
        <v>92</v>
      </c>
      <c r="C38" s="155">
        <v>60</v>
      </c>
      <c r="D38" s="156"/>
      <c r="E38" s="155">
        <v>58</v>
      </c>
      <c r="F38" s="156"/>
      <c r="G38" s="69"/>
      <c r="H38" s="69"/>
    </row>
    <row r="39" spans="2:8" x14ac:dyDescent="0.25">
      <c r="B39" s="68" t="s">
        <v>93</v>
      </c>
      <c r="C39" s="155">
        <v>15</v>
      </c>
      <c r="D39" s="156"/>
      <c r="E39" s="155">
        <v>14.7</v>
      </c>
      <c r="F39" s="156"/>
      <c r="G39" s="69"/>
      <c r="H39" s="69"/>
    </row>
    <row r="40" spans="2:8" ht="25.5" x14ac:dyDescent="0.25">
      <c r="B40" s="68" t="s">
        <v>94</v>
      </c>
      <c r="C40" s="155">
        <v>300</v>
      </c>
      <c r="D40" s="156"/>
      <c r="E40" s="155">
        <v>300</v>
      </c>
      <c r="F40" s="156"/>
      <c r="G40" s="69"/>
      <c r="H40" s="69"/>
    </row>
    <row r="41" spans="2:8" ht="38.25" x14ac:dyDescent="0.25">
      <c r="B41" s="68" t="s">
        <v>95</v>
      </c>
      <c r="C41" s="155">
        <v>150</v>
      </c>
      <c r="D41" s="156"/>
      <c r="E41" s="155">
        <v>150</v>
      </c>
      <c r="F41" s="156"/>
      <c r="G41" s="69"/>
      <c r="H41" s="69"/>
    </row>
    <row r="42" spans="2:8" ht="25.5" x14ac:dyDescent="0.25">
      <c r="B42" s="68" t="s">
        <v>96</v>
      </c>
      <c r="C42" s="155">
        <v>50</v>
      </c>
      <c r="D42" s="156"/>
      <c r="E42" s="155">
        <v>50</v>
      </c>
      <c r="F42" s="156"/>
      <c r="G42" s="69"/>
      <c r="H42" s="69"/>
    </row>
    <row r="43" spans="2:8" x14ac:dyDescent="0.25">
      <c r="B43" s="68" t="s">
        <v>97</v>
      </c>
      <c r="C43" s="155">
        <v>10</v>
      </c>
      <c r="D43" s="156"/>
      <c r="E43" s="155">
        <v>9.8000000000000007</v>
      </c>
      <c r="F43" s="156"/>
      <c r="G43" s="69"/>
      <c r="H43" s="87"/>
    </row>
    <row r="44" spans="2:8" ht="25.5" x14ac:dyDescent="0.25">
      <c r="B44" s="68" t="s">
        <v>98</v>
      </c>
      <c r="C44" s="155">
        <v>10</v>
      </c>
      <c r="D44" s="156"/>
      <c r="E44" s="155">
        <v>10</v>
      </c>
      <c r="F44" s="156"/>
      <c r="G44" s="74">
        <v>12.5</v>
      </c>
      <c r="H44" s="74">
        <v>12.5</v>
      </c>
    </row>
    <row r="45" spans="2:8" x14ac:dyDescent="0.25">
      <c r="B45" s="68" t="s">
        <v>99</v>
      </c>
      <c r="C45" s="155">
        <v>30</v>
      </c>
      <c r="D45" s="156"/>
      <c r="E45" s="155">
        <v>30</v>
      </c>
      <c r="F45" s="156"/>
      <c r="G45" s="69">
        <v>10</v>
      </c>
      <c r="H45" s="69">
        <v>10</v>
      </c>
    </row>
    <row r="46" spans="2:8" x14ac:dyDescent="0.25">
      <c r="B46" s="68" t="s">
        <v>100</v>
      </c>
      <c r="C46" s="155">
        <v>15</v>
      </c>
      <c r="D46" s="156"/>
      <c r="E46" s="155">
        <v>15</v>
      </c>
      <c r="F46" s="156"/>
      <c r="G46" s="69">
        <v>15</v>
      </c>
      <c r="H46" s="69">
        <v>15</v>
      </c>
    </row>
    <row r="47" spans="2:8" x14ac:dyDescent="0.25">
      <c r="B47" s="68" t="s">
        <v>101</v>
      </c>
      <c r="C47" s="155" t="s">
        <v>102</v>
      </c>
      <c r="D47" s="156"/>
      <c r="E47" s="155">
        <v>40</v>
      </c>
      <c r="F47" s="156"/>
      <c r="G47" s="69"/>
      <c r="H47" s="69"/>
    </row>
    <row r="48" spans="2:8" x14ac:dyDescent="0.25">
      <c r="B48" s="68" t="s">
        <v>103</v>
      </c>
      <c r="C48" s="155">
        <v>40</v>
      </c>
      <c r="D48" s="156"/>
      <c r="E48" s="159">
        <v>40</v>
      </c>
      <c r="F48" s="160"/>
      <c r="G48" s="69">
        <v>10</v>
      </c>
      <c r="H48" s="69">
        <v>10</v>
      </c>
    </row>
    <row r="49" spans="2:8" x14ac:dyDescent="0.25">
      <c r="B49" s="68" t="s">
        <v>104</v>
      </c>
      <c r="C49" s="159">
        <v>10</v>
      </c>
      <c r="D49" s="160"/>
      <c r="E49" s="155">
        <v>10</v>
      </c>
      <c r="F49" s="156"/>
      <c r="G49" s="69"/>
      <c r="H49" s="69"/>
    </row>
    <row r="50" spans="2:8" x14ac:dyDescent="0.25">
      <c r="B50" s="68" t="s">
        <v>105</v>
      </c>
      <c r="C50" s="155">
        <v>0.4</v>
      </c>
      <c r="D50" s="156"/>
      <c r="E50" s="155">
        <v>0.4</v>
      </c>
      <c r="F50" s="156"/>
      <c r="G50" s="69">
        <v>0.5</v>
      </c>
      <c r="H50" s="69">
        <v>0.5</v>
      </c>
    </row>
    <row r="51" spans="2:8" x14ac:dyDescent="0.25">
      <c r="B51" s="68" t="s">
        <v>106</v>
      </c>
      <c r="C51" s="155">
        <v>1.2</v>
      </c>
      <c r="D51" s="156"/>
      <c r="E51" s="155">
        <v>1.2</v>
      </c>
      <c r="F51" s="156"/>
      <c r="G51" s="69"/>
      <c r="H51" s="69"/>
    </row>
    <row r="52" spans="2:8" x14ac:dyDescent="0.25">
      <c r="B52" s="68" t="s">
        <v>107</v>
      </c>
      <c r="C52" s="155">
        <v>1</v>
      </c>
      <c r="D52" s="156"/>
      <c r="E52" s="155">
        <v>1</v>
      </c>
      <c r="F52" s="156"/>
      <c r="G52" s="69"/>
      <c r="H52" s="69"/>
    </row>
    <row r="53" spans="2:8" x14ac:dyDescent="0.25">
      <c r="B53" s="68" t="s">
        <v>108</v>
      </c>
      <c r="C53" s="155">
        <v>5</v>
      </c>
      <c r="D53" s="156"/>
      <c r="E53" s="155">
        <v>5</v>
      </c>
      <c r="F53" s="156"/>
      <c r="G53" s="69">
        <v>3.8</v>
      </c>
      <c r="H53" s="69">
        <v>3.8</v>
      </c>
    </row>
  </sheetData>
  <sheetProtection formatCells="0" formatColumns="0" formatRows="0" insertColumns="0" insertRows="0" insertHyperlinks="0" deleteColumns="0" deleteRows="0" sort="0" autoFilter="0" pivotTables="0"/>
  <mergeCells count="76">
    <mergeCell ref="E53:F53"/>
    <mergeCell ref="E48:F48"/>
    <mergeCell ref="E49:F49"/>
    <mergeCell ref="E50:F50"/>
    <mergeCell ref="E51:F51"/>
    <mergeCell ref="E52:F52"/>
    <mergeCell ref="E43:F43"/>
    <mergeCell ref="E44:F44"/>
    <mergeCell ref="E45:F45"/>
    <mergeCell ref="E46:F46"/>
    <mergeCell ref="E47:F47"/>
    <mergeCell ref="E38:F38"/>
    <mergeCell ref="E39:F39"/>
    <mergeCell ref="E40:F40"/>
    <mergeCell ref="E41:F41"/>
    <mergeCell ref="E42:F42"/>
    <mergeCell ref="C51:D51"/>
    <mergeCell ref="C52:D52"/>
    <mergeCell ref="C53:D53"/>
    <mergeCell ref="E26:F26"/>
    <mergeCell ref="E25:F25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B22:H22"/>
    <mergeCell ref="C23:F23"/>
    <mergeCell ref="B24:B25"/>
    <mergeCell ref="C24:D24"/>
    <mergeCell ref="E24:F24"/>
    <mergeCell ref="G23:H23"/>
    <mergeCell ref="C25:D25"/>
    <mergeCell ref="B17:E18"/>
    <mergeCell ref="F17:H17"/>
    <mergeCell ref="B19:E19"/>
    <mergeCell ref="B20:E20"/>
    <mergeCell ref="A7:O7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2" fitToWidth="2" fitToHeight="2" orientation="landscape" r:id="rId1"/>
  <rowBreaks count="1" manualBreakCount="1">
    <brk id="21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Титульный лист</vt:lpstr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свод 10 дней</vt:lpstr>
      <vt:lpstr>'1 день'!Область_печати</vt:lpstr>
      <vt:lpstr>'10 день'!Область_печати</vt:lpstr>
      <vt:lpstr>'2 день'!Область_печати</vt:lpstr>
      <vt:lpstr>'3 день'!Область_печати</vt:lpstr>
      <vt:lpstr>'4 день'!Область_печати</vt:lpstr>
      <vt:lpstr>'5 день'!Область_печати</vt:lpstr>
      <vt:lpstr>'6 день'!Область_печати</vt:lpstr>
      <vt:lpstr>'7 день'!Область_печати</vt:lpstr>
      <vt:lpstr>'8 день'!Область_печати</vt:lpstr>
      <vt:lpstr>'9 день'!Область_печати</vt:lpstr>
      <vt:lpstr>'свод 10 дней'!Область_печати</vt:lpstr>
      <vt:lpstr>'Титульный лист'!Область_печати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Ахмед</dc:creator>
  <cp:lastModifiedBy>Директор</cp:lastModifiedBy>
  <cp:lastPrinted>2020-09-28T07:18:40Z</cp:lastPrinted>
  <dcterms:created xsi:type="dcterms:W3CDTF">2017-02-04T19:31:45Z</dcterms:created>
  <dcterms:modified xsi:type="dcterms:W3CDTF">2020-09-28T08:32:16Z</dcterms:modified>
  <cp:contentStatus/>
</cp:coreProperties>
</file>